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zanovi\Documents\Cyklistika\MDP_BRNO2023\"/>
    </mc:Choice>
  </mc:AlternateContent>
  <xr:revisionPtr revIDLastSave="0" documentId="13_ncr:1_{0F9BFF9B-8EB6-4442-AD42-E9D30C80762C}" xr6:coauthVersionLast="47" xr6:coauthVersionMax="47" xr10:uidLastSave="{00000000-0000-0000-0000-000000000000}"/>
  <bookViews>
    <workbookView xWindow="-105" yWindow="0" windowWidth="14610" windowHeight="15585" tabRatio="500" activeTab="1" xr2:uid="{00000000-000D-0000-FFFF-FFFF00000000}"/>
  </bookViews>
  <sheets>
    <sheet name="Vylucovacka" sheetId="12" r:id="rId1"/>
    <sheet name="Bodovacka_x" sheetId="3" r:id="rId2"/>
    <sheet name="Omnium (2)" sheetId="11" state="hidden" r:id="rId3"/>
    <sheet name="Vylučovačka" sheetId="8" r:id="rId4"/>
    <sheet name="Dvojice" sheetId="13" r:id="rId5"/>
    <sheet name="seznam přihlašenych" sheetId="10" r:id="rId6"/>
    <sheet name="List4" sheetId="9" r:id="rId7"/>
    <sheet name="List1" sheetId="2" r:id="rId8"/>
    <sheet name="Scrarch" sheetId="4" r:id="rId9"/>
    <sheet name="Prvenstvi" sheetId="6" r:id="rId10"/>
    <sheet name="Bodovacka" sheetId="5" r:id="rId11"/>
  </sheets>
  <definedNames>
    <definedName name="_xlnm._FilterDatabase" localSheetId="1" hidden="1">Bodovacka_x!$A$10:$X$40</definedName>
    <definedName name="_xlnm._FilterDatabase" localSheetId="4" hidden="1">Dvojice!$A$11:$AU$11</definedName>
    <definedName name="_xlnm._FilterDatabase" localSheetId="2" hidden="1">'Omnium (2)'!$A$10:$AD$30</definedName>
    <definedName name="_xlnm._FilterDatabase" localSheetId="0" hidden="1">Vylucovacka!$A$10:$X$40</definedName>
    <definedName name="_xlnm.Print_Area" localSheetId="1">Bodovacka_x!$AQ$1:$AX$42</definedName>
    <definedName name="_xlnm.Print_Area" localSheetId="4">Dvojice!$A$2:$G$40</definedName>
    <definedName name="_xlnm.Print_Area" localSheetId="2">'Omnium (2)'!$AW$1:$BJ$32</definedName>
    <definedName name="_xlnm.Print_Area" localSheetId="0">Vylucovacka!$AQ$1:$AX$42</definedName>
  </definedNames>
  <calcPr calcId="191028"/>
</workbook>
</file>

<file path=xl/calcChain.xml><?xml version="1.0" encoding="utf-8"?>
<calcChain xmlns="http://schemas.openxmlformats.org/spreadsheetml/2006/main">
  <c r="D40" i="3" l="1"/>
  <c r="AR34" i="12"/>
  <c r="AS34" i="12"/>
  <c r="AT34" i="12"/>
  <c r="AU34" i="12"/>
  <c r="AQ4" i="12"/>
  <c r="AU35" i="12"/>
  <c r="AU38" i="12"/>
  <c r="AU12" i="12"/>
  <c r="AU25" i="12"/>
  <c r="AU13" i="12"/>
  <c r="AU29" i="12"/>
  <c r="AU19" i="12"/>
  <c r="AU15" i="12"/>
  <c r="AU28" i="12"/>
  <c r="AU22" i="12"/>
  <c r="AU17" i="12"/>
  <c r="AU27" i="12"/>
  <c r="AU26" i="12"/>
  <c r="AU20" i="12"/>
  <c r="AU30" i="12"/>
  <c r="AU21" i="12"/>
  <c r="AU14" i="12"/>
  <c r="AU32" i="12"/>
  <c r="AU36" i="12"/>
  <c r="AU33" i="12"/>
  <c r="AU37" i="12"/>
  <c r="AU24" i="12"/>
  <c r="AU23" i="12"/>
  <c r="AU16" i="12"/>
  <c r="AU18" i="12"/>
  <c r="AU31" i="12"/>
  <c r="AU12" i="3"/>
  <c r="AU18" i="3"/>
  <c r="AU16" i="3"/>
  <c r="AU26" i="3"/>
  <c r="AU13" i="3"/>
  <c r="AU15" i="3"/>
  <c r="AU19" i="3"/>
  <c r="AU20" i="3"/>
  <c r="AU25" i="3"/>
  <c r="AU22" i="3"/>
  <c r="AU21" i="3"/>
  <c r="AU17" i="3"/>
  <c r="AU24" i="3"/>
  <c r="AU23" i="3"/>
  <c r="AU14" i="3"/>
  <c r="AU27" i="3"/>
  <c r="AU30" i="3"/>
  <c r="AU34" i="3"/>
  <c r="AU33" i="3"/>
  <c r="AU29" i="3"/>
  <c r="AU36" i="3"/>
  <c r="AU31" i="3"/>
  <c r="AU28" i="3"/>
  <c r="AU35" i="3"/>
  <c r="AU32" i="3"/>
  <c r="AU37" i="3"/>
  <c r="AU38" i="3"/>
  <c r="AQ4" i="3"/>
  <c r="G35" i="12"/>
  <c r="H35" i="12" s="1"/>
  <c r="H38" i="12"/>
  <c r="G12" i="12"/>
  <c r="H12" i="12" s="1"/>
  <c r="G25" i="12"/>
  <c r="H25" i="12" s="1"/>
  <c r="G13" i="12"/>
  <c r="H13" i="12" s="1"/>
  <c r="G29" i="12"/>
  <c r="H29" i="12" s="1"/>
  <c r="G19" i="12"/>
  <c r="H19" i="12" s="1"/>
  <c r="G15" i="12"/>
  <c r="H15" i="12" s="1"/>
  <c r="G28" i="12"/>
  <c r="H28" i="12" s="1"/>
  <c r="G22" i="12"/>
  <c r="H22" i="12" s="1"/>
  <c r="G17" i="12"/>
  <c r="H17" i="12" s="1"/>
  <c r="G27" i="12"/>
  <c r="H27" i="12" s="1"/>
  <c r="G26" i="12"/>
  <c r="H26" i="12" s="1"/>
  <c r="G20" i="12"/>
  <c r="H20" i="12" s="1"/>
  <c r="G30" i="12"/>
  <c r="H30" i="12" s="1"/>
  <c r="G21" i="12"/>
  <c r="H21" i="12" s="1"/>
  <c r="G14" i="12"/>
  <c r="H14" i="12" s="1"/>
  <c r="G32" i="12"/>
  <c r="H32" i="12" s="1"/>
  <c r="G36" i="12"/>
  <c r="H36" i="12" s="1"/>
  <c r="G33" i="12"/>
  <c r="H33" i="12" s="1"/>
  <c r="G37" i="12"/>
  <c r="H37" i="12" s="1"/>
  <c r="G24" i="12"/>
  <c r="H24" i="12" s="1"/>
  <c r="G23" i="12"/>
  <c r="H23" i="12" s="1"/>
  <c r="G16" i="12"/>
  <c r="H16" i="12" s="1"/>
  <c r="G18" i="12"/>
  <c r="H18" i="12" s="1"/>
  <c r="G31" i="12"/>
  <c r="H31" i="12" s="1"/>
  <c r="Y38" i="12"/>
  <c r="Y12" i="12"/>
  <c r="Y25" i="12"/>
  <c r="Y13" i="12"/>
  <c r="Y29" i="12"/>
  <c r="Y19" i="12"/>
  <c r="Y15" i="12"/>
  <c r="Y28" i="12"/>
  <c r="Y22" i="12"/>
  <c r="Y17" i="12"/>
  <c r="Y27" i="12"/>
  <c r="Y26" i="12"/>
  <c r="Y20" i="12"/>
  <c r="Y30" i="12"/>
  <c r="Y21" i="12"/>
  <c r="Y14" i="12"/>
  <c r="Y32" i="12"/>
  <c r="Y36" i="12"/>
  <c r="Y33" i="12"/>
  <c r="Y37" i="12"/>
  <c r="Y24" i="12"/>
  <c r="Y23" i="12"/>
  <c r="Y16" i="12"/>
  <c r="Y18" i="12"/>
  <c r="Y31" i="12"/>
  <c r="Y34" i="12"/>
  <c r="Y39" i="12"/>
  <c r="Y35" i="12"/>
  <c r="Z35" i="12"/>
  <c r="M12" i="13"/>
  <c r="P12" i="13"/>
  <c r="O12" i="13"/>
  <c r="I12" i="13"/>
  <c r="G12" i="13" s="1"/>
  <c r="D40" i="13"/>
  <c r="AQ42" i="13" s="1"/>
  <c r="AT39" i="13"/>
  <c r="AS39" i="13"/>
  <c r="AR39" i="13"/>
  <c r="AQ39" i="13"/>
  <c r="AP39" i="13"/>
  <c r="AO39" i="13"/>
  <c r="AL39" i="13"/>
  <c r="AK39" i="13"/>
  <c r="AJ39" i="13"/>
  <c r="AI39" i="13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AT38" i="13"/>
  <c r="AS38" i="13"/>
  <c r="AR38" i="13"/>
  <c r="AQ38" i="13"/>
  <c r="AP38" i="13"/>
  <c r="AO38" i="13"/>
  <c r="AL38" i="13"/>
  <c r="AK38" i="13"/>
  <c r="AJ38" i="13"/>
  <c r="AI38" i="13"/>
  <c r="AH38" i="13"/>
  <c r="AG38" i="13"/>
  <c r="AF38" i="13"/>
  <c r="AE38" i="13"/>
  <c r="AD38" i="13"/>
  <c r="AC38" i="13"/>
  <c r="AB38" i="13"/>
  <c r="AA38" i="13"/>
  <c r="Z38" i="13"/>
  <c r="Y38" i="13"/>
  <c r="X38" i="13"/>
  <c r="W38" i="13"/>
  <c r="V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G38" i="13" s="1"/>
  <c r="H38" i="13"/>
  <c r="AT37" i="13"/>
  <c r="AS37" i="13"/>
  <c r="AR37" i="13"/>
  <c r="AQ37" i="13"/>
  <c r="AP37" i="13"/>
  <c r="AO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AT36" i="13"/>
  <c r="AS36" i="13"/>
  <c r="AR36" i="13"/>
  <c r="AQ36" i="13"/>
  <c r="AP36" i="13"/>
  <c r="AO36" i="13"/>
  <c r="AL36" i="13"/>
  <c r="AK36" i="13"/>
  <c r="AJ36" i="13"/>
  <c r="AI36" i="13"/>
  <c r="AH36" i="13"/>
  <c r="AG36" i="13"/>
  <c r="AF36" i="13"/>
  <c r="AE36" i="13"/>
  <c r="AD36" i="13"/>
  <c r="AC36" i="13"/>
  <c r="AB36" i="13"/>
  <c r="AA36" i="13"/>
  <c r="Z36" i="13"/>
  <c r="Y36" i="13"/>
  <c r="X36" i="13"/>
  <c r="W36" i="13"/>
  <c r="V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G36" i="13" s="1"/>
  <c r="H36" i="13"/>
  <c r="AT35" i="13"/>
  <c r="AS35" i="13"/>
  <c r="AR35" i="13"/>
  <c r="AQ35" i="13"/>
  <c r="AP35" i="13"/>
  <c r="AO35" i="13"/>
  <c r="AL35" i="13"/>
  <c r="AK35" i="13"/>
  <c r="AJ35" i="13"/>
  <c r="AI35" i="13"/>
  <c r="AH35" i="13"/>
  <c r="AG35" i="13"/>
  <c r="AF35" i="13"/>
  <c r="AE35" i="13"/>
  <c r="AD35" i="13"/>
  <c r="AC35" i="13"/>
  <c r="AB35" i="13"/>
  <c r="AA35" i="13"/>
  <c r="Z35" i="13"/>
  <c r="Y35" i="13"/>
  <c r="X35" i="13"/>
  <c r="W35" i="13"/>
  <c r="V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AT34" i="13"/>
  <c r="AS34" i="13"/>
  <c r="AR34" i="13"/>
  <c r="AQ34" i="13"/>
  <c r="AP34" i="13"/>
  <c r="AO34" i="13"/>
  <c r="AL34" i="13"/>
  <c r="AK34" i="13"/>
  <c r="AJ34" i="13"/>
  <c r="AI34" i="13"/>
  <c r="AH34" i="13"/>
  <c r="AG34" i="13"/>
  <c r="AF34" i="13"/>
  <c r="AE34" i="13"/>
  <c r="AD34" i="13"/>
  <c r="AC34" i="13"/>
  <c r="AB34" i="13"/>
  <c r="AA34" i="13"/>
  <c r="Z34" i="13"/>
  <c r="Y34" i="13"/>
  <c r="X34" i="13"/>
  <c r="W34" i="13"/>
  <c r="V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G34" i="13" s="1"/>
  <c r="H34" i="13"/>
  <c r="AT33" i="13"/>
  <c r="AS33" i="13"/>
  <c r="AR33" i="13"/>
  <c r="AQ33" i="13"/>
  <c r="AP33" i="13"/>
  <c r="AO33" i="13"/>
  <c r="AL33" i="13"/>
  <c r="AK33" i="13"/>
  <c r="AJ33" i="13"/>
  <c r="AI33" i="13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V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AT32" i="13"/>
  <c r="AS32" i="13"/>
  <c r="AR32" i="13"/>
  <c r="AQ32" i="13"/>
  <c r="AP32" i="13"/>
  <c r="AO32" i="13"/>
  <c r="AL32" i="13"/>
  <c r="AK32" i="13"/>
  <c r="AJ32" i="13"/>
  <c r="AI32" i="13"/>
  <c r="AH32" i="13"/>
  <c r="AG32" i="13"/>
  <c r="AF32" i="13"/>
  <c r="AE32" i="13"/>
  <c r="AD32" i="13"/>
  <c r="AC32" i="13"/>
  <c r="AB32" i="13"/>
  <c r="AA32" i="13"/>
  <c r="Z32" i="13"/>
  <c r="Y32" i="13"/>
  <c r="X32" i="13"/>
  <c r="W32" i="13"/>
  <c r="V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G32" i="13" s="1"/>
  <c r="H32" i="13"/>
  <c r="AT31" i="13"/>
  <c r="AS31" i="13"/>
  <c r="AR31" i="13"/>
  <c r="AQ31" i="13"/>
  <c r="AP31" i="13"/>
  <c r="AO31" i="13"/>
  <c r="AL31" i="13"/>
  <c r="AK31" i="13"/>
  <c r="AJ31" i="13"/>
  <c r="AI31" i="13"/>
  <c r="AH31" i="13"/>
  <c r="AG31" i="13"/>
  <c r="AF31" i="13"/>
  <c r="AE31" i="13"/>
  <c r="AD31" i="13"/>
  <c r="AC31" i="13"/>
  <c r="AB31" i="13"/>
  <c r="AA31" i="13"/>
  <c r="Z31" i="13"/>
  <c r="Y31" i="13"/>
  <c r="X31" i="13"/>
  <c r="W31" i="13"/>
  <c r="V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AT30" i="13"/>
  <c r="AS30" i="13"/>
  <c r="AR30" i="13"/>
  <c r="AQ30" i="13"/>
  <c r="AP30" i="13"/>
  <c r="AO30" i="13"/>
  <c r="AL30" i="13"/>
  <c r="AK30" i="13"/>
  <c r="AJ30" i="13"/>
  <c r="AI30" i="13"/>
  <c r="AH30" i="13"/>
  <c r="AG30" i="13"/>
  <c r="AF30" i="13"/>
  <c r="AE30" i="13"/>
  <c r="AD30" i="13"/>
  <c r="AC30" i="13"/>
  <c r="AB30" i="13"/>
  <c r="AA30" i="13"/>
  <c r="Z30" i="13"/>
  <c r="Y30" i="13"/>
  <c r="X30" i="13"/>
  <c r="W30" i="13"/>
  <c r="V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G30" i="13" s="1"/>
  <c r="H30" i="13"/>
  <c r="AT29" i="13"/>
  <c r="AS29" i="13"/>
  <c r="AR29" i="13"/>
  <c r="AQ29" i="13"/>
  <c r="AP29" i="13"/>
  <c r="AO29" i="13"/>
  <c r="AL29" i="13"/>
  <c r="AK29" i="13"/>
  <c r="AJ29" i="13"/>
  <c r="AI29" i="13"/>
  <c r="AH29" i="13"/>
  <c r="AG29" i="13"/>
  <c r="AF29" i="13"/>
  <c r="AE29" i="13"/>
  <c r="AD29" i="13"/>
  <c r="AC29" i="13"/>
  <c r="AB29" i="13"/>
  <c r="AA29" i="13"/>
  <c r="Z29" i="13"/>
  <c r="Y29" i="13"/>
  <c r="X29" i="13"/>
  <c r="W29" i="13"/>
  <c r="V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AT28" i="13"/>
  <c r="AS28" i="13"/>
  <c r="AR28" i="13"/>
  <c r="AQ28" i="13"/>
  <c r="AP28" i="13"/>
  <c r="AO28" i="13"/>
  <c r="AL28" i="13"/>
  <c r="AK28" i="13"/>
  <c r="AJ28" i="13"/>
  <c r="AI28" i="13"/>
  <c r="AH28" i="13"/>
  <c r="AG28" i="13"/>
  <c r="AF28" i="13"/>
  <c r="AE28" i="13"/>
  <c r="AD28" i="13"/>
  <c r="AC28" i="13"/>
  <c r="AB28" i="13"/>
  <c r="AA28" i="13"/>
  <c r="Z28" i="13"/>
  <c r="Y28" i="13"/>
  <c r="X28" i="13"/>
  <c r="W28" i="13"/>
  <c r="V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G28" i="13" s="1"/>
  <c r="H28" i="13"/>
  <c r="AT27" i="13"/>
  <c r="AS27" i="13"/>
  <c r="AR27" i="13"/>
  <c r="AQ27" i="13"/>
  <c r="AP27" i="13"/>
  <c r="AO27" i="13"/>
  <c r="AL27" i="13"/>
  <c r="AK27" i="13"/>
  <c r="AJ27" i="13"/>
  <c r="AI27" i="13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AT26" i="13"/>
  <c r="AS26" i="13"/>
  <c r="AR26" i="13"/>
  <c r="AQ26" i="13"/>
  <c r="AP26" i="13"/>
  <c r="AO26" i="13"/>
  <c r="AL26" i="13"/>
  <c r="AK26" i="13"/>
  <c r="AJ26" i="13"/>
  <c r="AI26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G26" i="13" s="1"/>
  <c r="H26" i="13"/>
  <c r="AT25" i="13"/>
  <c r="AS25" i="13"/>
  <c r="AR25" i="13"/>
  <c r="AQ25" i="13"/>
  <c r="AP25" i="13"/>
  <c r="AO25" i="13"/>
  <c r="AL25" i="13"/>
  <c r="AK25" i="13"/>
  <c r="AJ25" i="13"/>
  <c r="AI25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AT24" i="13"/>
  <c r="AS24" i="13"/>
  <c r="AR24" i="13"/>
  <c r="AQ24" i="13"/>
  <c r="AP24" i="13"/>
  <c r="AO24" i="13"/>
  <c r="AL24" i="13"/>
  <c r="AK24" i="13"/>
  <c r="AJ24" i="13"/>
  <c r="AI24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G24" i="13" s="1"/>
  <c r="H24" i="13"/>
  <c r="AT23" i="13"/>
  <c r="AS23" i="13"/>
  <c r="AR23" i="13"/>
  <c r="AQ23" i="13"/>
  <c r="AP23" i="13"/>
  <c r="AO23" i="13"/>
  <c r="AL23" i="13"/>
  <c r="AK23" i="13"/>
  <c r="AJ23" i="13"/>
  <c r="AI23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AT22" i="13"/>
  <c r="AS22" i="13"/>
  <c r="AR22" i="13"/>
  <c r="AQ22" i="13"/>
  <c r="AP22" i="13"/>
  <c r="AO22" i="13"/>
  <c r="AL22" i="13"/>
  <c r="AK22" i="13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G22" i="13" s="1"/>
  <c r="H22" i="13"/>
  <c r="AT21" i="13"/>
  <c r="AS21" i="13"/>
  <c r="AR21" i="13"/>
  <c r="AQ21" i="13"/>
  <c r="AP21" i="13"/>
  <c r="AO21" i="13"/>
  <c r="AL21" i="13"/>
  <c r="AK21" i="13"/>
  <c r="AJ21" i="13"/>
  <c r="AI21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AT20" i="13"/>
  <c r="AS20" i="13"/>
  <c r="AR20" i="13"/>
  <c r="AQ20" i="13"/>
  <c r="AP20" i="13"/>
  <c r="AO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G20" i="13" s="1"/>
  <c r="H20" i="13"/>
  <c r="AT19" i="13"/>
  <c r="AS19" i="13"/>
  <c r="AR19" i="13"/>
  <c r="AQ19" i="13"/>
  <c r="AP19" i="13"/>
  <c r="AO19" i="13"/>
  <c r="AL19" i="13"/>
  <c r="AK19" i="13"/>
  <c r="AJ19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AT18" i="13"/>
  <c r="AS18" i="13"/>
  <c r="AR18" i="13"/>
  <c r="AQ18" i="13"/>
  <c r="AP18" i="13"/>
  <c r="AO18" i="13"/>
  <c r="AL18" i="13"/>
  <c r="AK18" i="13"/>
  <c r="AJ18" i="13"/>
  <c r="AI18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G18" i="13" s="1"/>
  <c r="H18" i="13"/>
  <c r="AT17" i="13"/>
  <c r="AS17" i="13"/>
  <c r="AR17" i="13"/>
  <c r="AQ17" i="13"/>
  <c r="AP17" i="13"/>
  <c r="AO17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AT16" i="13"/>
  <c r="AS16" i="13"/>
  <c r="AR16" i="13"/>
  <c r="AQ16" i="13"/>
  <c r="AP16" i="13"/>
  <c r="AO16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G16" i="13" s="1"/>
  <c r="H16" i="13"/>
  <c r="AT15" i="13"/>
  <c r="AS15" i="13"/>
  <c r="AR15" i="13"/>
  <c r="AQ15" i="13"/>
  <c r="AP15" i="13"/>
  <c r="AO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AT14" i="13"/>
  <c r="AS14" i="13"/>
  <c r="AR14" i="13"/>
  <c r="AQ14" i="13"/>
  <c r="AP14" i="13"/>
  <c r="AO14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G14" i="13" s="1"/>
  <c r="H14" i="13"/>
  <c r="AT13" i="13"/>
  <c r="AS13" i="13"/>
  <c r="AR13" i="13"/>
  <c r="AQ13" i="13"/>
  <c r="AP13" i="13"/>
  <c r="AO13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T13" i="13"/>
  <c r="S13" i="13"/>
  <c r="R13" i="13"/>
  <c r="Q13" i="13"/>
  <c r="H13" i="13"/>
  <c r="AT12" i="13"/>
  <c r="AS12" i="13"/>
  <c r="AR12" i="13"/>
  <c r="AQ12" i="13"/>
  <c r="AP12" i="13"/>
  <c r="AO12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T12" i="13"/>
  <c r="S12" i="13"/>
  <c r="R12" i="13"/>
  <c r="Q12" i="13"/>
  <c r="N12" i="13"/>
  <c r="L12" i="13"/>
  <c r="K12" i="13"/>
  <c r="J12" i="13"/>
  <c r="H12" i="13"/>
  <c r="AN4" i="13"/>
  <c r="AN3" i="13"/>
  <c r="D40" i="12"/>
  <c r="AT42" i="12" s="1"/>
  <c r="AW39" i="12"/>
  <c r="AV39" i="12"/>
  <c r="AO39" i="12"/>
  <c r="AN39" i="12"/>
  <c r="AM39" i="12"/>
  <c r="AL39" i="12"/>
  <c r="AK39" i="12"/>
  <c r="AJ39" i="12"/>
  <c r="AI39" i="12"/>
  <c r="AH39" i="12"/>
  <c r="AG39" i="12"/>
  <c r="AF39" i="12"/>
  <c r="AE39" i="12"/>
  <c r="AD39" i="12"/>
  <c r="AC39" i="12"/>
  <c r="AB39" i="12"/>
  <c r="AA39" i="12"/>
  <c r="Z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J39" i="12"/>
  <c r="G39" i="12"/>
  <c r="H39" i="12" s="1"/>
  <c r="AW34" i="12"/>
  <c r="AV34" i="12"/>
  <c r="AO34" i="12"/>
  <c r="AN34" i="12"/>
  <c r="AM34" i="12"/>
  <c r="AL34" i="12"/>
  <c r="AK34" i="12"/>
  <c r="AJ34" i="12"/>
  <c r="AI34" i="12"/>
  <c r="AH34" i="12"/>
  <c r="AG34" i="12"/>
  <c r="AF34" i="12"/>
  <c r="AE34" i="12"/>
  <c r="AD34" i="12"/>
  <c r="AC34" i="12"/>
  <c r="AB34" i="12"/>
  <c r="AA34" i="12"/>
  <c r="Z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J34" i="12"/>
  <c r="G34" i="12"/>
  <c r="H34" i="12" s="1"/>
  <c r="AW31" i="12"/>
  <c r="AV31" i="12"/>
  <c r="AT31" i="12"/>
  <c r="AS31" i="12"/>
  <c r="AR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AC31" i="12"/>
  <c r="AB31" i="12"/>
  <c r="AA31" i="12"/>
  <c r="Z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J31" i="12"/>
  <c r="AW18" i="12"/>
  <c r="AV18" i="12"/>
  <c r="AT18" i="12"/>
  <c r="AS18" i="12"/>
  <c r="AR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AC18" i="12"/>
  <c r="AB18" i="12"/>
  <c r="AA18" i="12"/>
  <c r="Z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J18" i="12"/>
  <c r="AW16" i="12"/>
  <c r="AV16" i="12"/>
  <c r="AT16" i="12"/>
  <c r="AS16" i="12"/>
  <c r="AR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J16" i="12"/>
  <c r="AW23" i="12"/>
  <c r="AV23" i="12"/>
  <c r="AT23" i="12"/>
  <c r="AS23" i="12"/>
  <c r="AR23" i="12"/>
  <c r="AO23" i="12"/>
  <c r="AN23" i="12"/>
  <c r="AM23" i="12"/>
  <c r="AL23" i="12"/>
  <c r="AK23" i="12"/>
  <c r="AJ23" i="12"/>
  <c r="AI23" i="12"/>
  <c r="AH23" i="12"/>
  <c r="AG23" i="12"/>
  <c r="AF23" i="12"/>
  <c r="AE23" i="12"/>
  <c r="AD23" i="12"/>
  <c r="AC23" i="12"/>
  <c r="AB23" i="12"/>
  <c r="AA23" i="12"/>
  <c r="Z23" i="12"/>
  <c r="W23" i="12"/>
  <c r="V23" i="12"/>
  <c r="U23" i="12"/>
  <c r="T23" i="12"/>
  <c r="S23" i="12"/>
  <c r="R23" i="12"/>
  <c r="Q23" i="12"/>
  <c r="P23" i="12"/>
  <c r="O23" i="12"/>
  <c r="N23" i="12"/>
  <c r="M23" i="12"/>
  <c r="L23" i="12"/>
  <c r="J23" i="12"/>
  <c r="AW24" i="12"/>
  <c r="AV24" i="12"/>
  <c r="AT24" i="12"/>
  <c r="AS24" i="12"/>
  <c r="AR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AC24" i="12"/>
  <c r="AB24" i="12"/>
  <c r="AA24" i="12"/>
  <c r="Z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J24" i="12"/>
  <c r="AW37" i="12"/>
  <c r="AV37" i="12"/>
  <c r="AT37" i="12"/>
  <c r="AS37" i="12"/>
  <c r="AR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AC37" i="12"/>
  <c r="AB37" i="12"/>
  <c r="AA37" i="12"/>
  <c r="Z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J37" i="12"/>
  <c r="AW33" i="12"/>
  <c r="AV33" i="12"/>
  <c r="AT33" i="12"/>
  <c r="AS33" i="12"/>
  <c r="AR33" i="12"/>
  <c r="AO33" i="12"/>
  <c r="AN33" i="12"/>
  <c r="AM33" i="12"/>
  <c r="AL33" i="12"/>
  <c r="AK33" i="12"/>
  <c r="AJ33" i="12"/>
  <c r="AI33" i="12"/>
  <c r="AH33" i="12"/>
  <c r="AG33" i="12"/>
  <c r="AF33" i="12"/>
  <c r="AE33" i="12"/>
  <c r="AD33" i="12"/>
  <c r="AC33" i="12"/>
  <c r="AB33" i="12"/>
  <c r="AA33" i="12"/>
  <c r="Z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J33" i="12"/>
  <c r="AW36" i="12"/>
  <c r="AV36" i="12"/>
  <c r="AT36" i="12"/>
  <c r="AS36" i="12"/>
  <c r="AR36" i="12"/>
  <c r="AO36" i="12"/>
  <c r="AN36" i="12"/>
  <c r="AM36" i="12"/>
  <c r="AL36" i="12"/>
  <c r="AK36" i="12"/>
  <c r="AJ36" i="12"/>
  <c r="AI36" i="12"/>
  <c r="AH36" i="12"/>
  <c r="AG36" i="12"/>
  <c r="AF36" i="12"/>
  <c r="AE36" i="12"/>
  <c r="AD36" i="12"/>
  <c r="AC36" i="12"/>
  <c r="AB36" i="12"/>
  <c r="AA36" i="12"/>
  <c r="Z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J36" i="12"/>
  <c r="AW32" i="12"/>
  <c r="AV32" i="12"/>
  <c r="AT32" i="12"/>
  <c r="AS32" i="12"/>
  <c r="AR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J32" i="12"/>
  <c r="AW14" i="12"/>
  <c r="AV14" i="12"/>
  <c r="AT14" i="12"/>
  <c r="AS14" i="12"/>
  <c r="AR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J14" i="12"/>
  <c r="AW21" i="12"/>
  <c r="AV21" i="12"/>
  <c r="AT21" i="12"/>
  <c r="AS21" i="12"/>
  <c r="AR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AC21" i="12"/>
  <c r="AB21" i="12"/>
  <c r="AA21" i="12"/>
  <c r="Z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J21" i="12"/>
  <c r="AW30" i="12"/>
  <c r="AV30" i="12"/>
  <c r="AT30" i="12"/>
  <c r="AS30" i="12"/>
  <c r="AR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AC30" i="12"/>
  <c r="AB30" i="12"/>
  <c r="AA30" i="12"/>
  <c r="Z30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J30" i="12"/>
  <c r="AW20" i="12"/>
  <c r="AV20" i="12"/>
  <c r="AT20" i="12"/>
  <c r="AS20" i="12"/>
  <c r="AR20" i="12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AA20" i="12"/>
  <c r="Z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J20" i="12"/>
  <c r="AW26" i="12"/>
  <c r="AV26" i="12"/>
  <c r="AT26" i="12"/>
  <c r="AS26" i="12"/>
  <c r="AR26" i="12"/>
  <c r="AO26" i="12"/>
  <c r="AN26" i="12"/>
  <c r="AM26" i="12"/>
  <c r="AL26" i="12"/>
  <c r="AK26" i="12"/>
  <c r="AJ26" i="12"/>
  <c r="AI26" i="12"/>
  <c r="AH26" i="12"/>
  <c r="AG26" i="12"/>
  <c r="AF26" i="12"/>
  <c r="AE26" i="12"/>
  <c r="AD26" i="12"/>
  <c r="AC26" i="12"/>
  <c r="AB26" i="12"/>
  <c r="AA26" i="12"/>
  <c r="Z26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J26" i="12"/>
  <c r="AW27" i="12"/>
  <c r="AV27" i="12"/>
  <c r="AT27" i="12"/>
  <c r="AS27" i="12"/>
  <c r="AR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AC27" i="12"/>
  <c r="AB27" i="12"/>
  <c r="AA27" i="12"/>
  <c r="Z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J27" i="12"/>
  <c r="AW17" i="12"/>
  <c r="AV17" i="12"/>
  <c r="AT17" i="12"/>
  <c r="AS17" i="12"/>
  <c r="AR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J17" i="12"/>
  <c r="AW22" i="12"/>
  <c r="AV22" i="12"/>
  <c r="AT22" i="12"/>
  <c r="AS22" i="12"/>
  <c r="AR22" i="12"/>
  <c r="AO22" i="12"/>
  <c r="AN22" i="12"/>
  <c r="AM22" i="12"/>
  <c r="AL22" i="12"/>
  <c r="AK22" i="12"/>
  <c r="AJ22" i="12"/>
  <c r="AI22" i="12"/>
  <c r="AH22" i="12"/>
  <c r="AG22" i="12"/>
  <c r="AF22" i="12"/>
  <c r="AE22" i="12"/>
  <c r="AD22" i="12"/>
  <c r="AC22" i="12"/>
  <c r="AB22" i="12"/>
  <c r="AA22" i="12"/>
  <c r="Z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J22" i="12"/>
  <c r="AW28" i="12"/>
  <c r="AV28" i="12"/>
  <c r="AT28" i="12"/>
  <c r="AS28" i="12"/>
  <c r="AR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AC28" i="12"/>
  <c r="AB28" i="12"/>
  <c r="AA28" i="12"/>
  <c r="Z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J28" i="12"/>
  <c r="AW15" i="12"/>
  <c r="AV15" i="12"/>
  <c r="AT15" i="12"/>
  <c r="AS15" i="12"/>
  <c r="AR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J15" i="12"/>
  <c r="AW19" i="12"/>
  <c r="AV19" i="12"/>
  <c r="AT19" i="12"/>
  <c r="AS19" i="12"/>
  <c r="AR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AC19" i="12"/>
  <c r="AB19" i="12"/>
  <c r="AA19" i="12"/>
  <c r="Z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J19" i="12"/>
  <c r="AW29" i="12"/>
  <c r="AV29" i="12"/>
  <c r="AT29" i="12"/>
  <c r="AS29" i="12"/>
  <c r="AR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AC29" i="12"/>
  <c r="AB29" i="12"/>
  <c r="AA29" i="12"/>
  <c r="Z29" i="12"/>
  <c r="W29" i="12"/>
  <c r="V29" i="12"/>
  <c r="U29" i="12"/>
  <c r="T29" i="12"/>
  <c r="S29" i="12"/>
  <c r="R29" i="12"/>
  <c r="Q29" i="12"/>
  <c r="P29" i="12"/>
  <c r="O29" i="12"/>
  <c r="N29" i="12"/>
  <c r="M29" i="12"/>
  <c r="L29" i="12"/>
  <c r="J29" i="12"/>
  <c r="AW13" i="12"/>
  <c r="AV13" i="12"/>
  <c r="AT13" i="12"/>
  <c r="AS13" i="12"/>
  <c r="AR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J13" i="12"/>
  <c r="AW25" i="12"/>
  <c r="AV25" i="12"/>
  <c r="AT25" i="12"/>
  <c r="AS25" i="12"/>
  <c r="AR25" i="12"/>
  <c r="AO25" i="12"/>
  <c r="AN25" i="12"/>
  <c r="AM25" i="12"/>
  <c r="AL25" i="12"/>
  <c r="AK25" i="12"/>
  <c r="AJ25" i="12"/>
  <c r="AI25" i="12"/>
  <c r="AH25" i="12"/>
  <c r="AG25" i="12"/>
  <c r="AF25" i="12"/>
  <c r="AE25" i="12"/>
  <c r="AD25" i="12"/>
  <c r="AC25" i="12"/>
  <c r="AB25" i="12"/>
  <c r="AA25" i="12"/>
  <c r="Z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J25" i="12"/>
  <c r="AW12" i="12"/>
  <c r="AV12" i="12"/>
  <c r="AT12" i="12"/>
  <c r="AS12" i="12"/>
  <c r="AR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J12" i="12"/>
  <c r="AW38" i="12"/>
  <c r="AV38" i="12"/>
  <c r="AT38" i="12"/>
  <c r="AS38" i="12"/>
  <c r="AR38" i="12"/>
  <c r="AO38" i="12"/>
  <c r="AN38" i="12"/>
  <c r="AM38" i="12"/>
  <c r="AL38" i="12"/>
  <c r="AK38" i="12"/>
  <c r="AJ38" i="12"/>
  <c r="AI38" i="12"/>
  <c r="AH38" i="12"/>
  <c r="AG38" i="12"/>
  <c r="AF38" i="12"/>
  <c r="AE38" i="12"/>
  <c r="AD38" i="12"/>
  <c r="AC38" i="12"/>
  <c r="AB38" i="12"/>
  <c r="AA38" i="12"/>
  <c r="Z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J38" i="12"/>
  <c r="AW35" i="12"/>
  <c r="AV35" i="12"/>
  <c r="AT35" i="12"/>
  <c r="AS35" i="12"/>
  <c r="AR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AC35" i="12"/>
  <c r="AB35" i="12"/>
  <c r="AA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J35" i="12"/>
  <c r="AQ3" i="12"/>
  <c r="O21" i="3"/>
  <c r="L12" i="3"/>
  <c r="M12" i="3"/>
  <c r="N12" i="3"/>
  <c r="O12" i="3"/>
  <c r="P12" i="3"/>
  <c r="Q12" i="3"/>
  <c r="R12" i="3"/>
  <c r="S12" i="3"/>
  <c r="T12" i="3"/>
  <c r="U12" i="3"/>
  <c r="V12" i="3"/>
  <c r="W12" i="3"/>
  <c r="L18" i="3"/>
  <c r="M18" i="3"/>
  <c r="N18" i="3"/>
  <c r="O18" i="3"/>
  <c r="P18" i="3"/>
  <c r="Q18" i="3"/>
  <c r="R18" i="3"/>
  <c r="S18" i="3"/>
  <c r="T18" i="3"/>
  <c r="U18" i="3"/>
  <c r="V18" i="3"/>
  <c r="W18" i="3"/>
  <c r="L16" i="3"/>
  <c r="M16" i="3"/>
  <c r="N16" i="3"/>
  <c r="O16" i="3"/>
  <c r="P16" i="3"/>
  <c r="Q16" i="3"/>
  <c r="R16" i="3"/>
  <c r="S16" i="3"/>
  <c r="T16" i="3"/>
  <c r="U16" i="3"/>
  <c r="V16" i="3"/>
  <c r="W16" i="3"/>
  <c r="L26" i="3"/>
  <c r="M26" i="3"/>
  <c r="N26" i="3"/>
  <c r="O26" i="3"/>
  <c r="P26" i="3"/>
  <c r="Q26" i="3"/>
  <c r="R26" i="3"/>
  <c r="S26" i="3"/>
  <c r="T26" i="3"/>
  <c r="U26" i="3"/>
  <c r="V26" i="3"/>
  <c r="W26" i="3"/>
  <c r="L13" i="3"/>
  <c r="M13" i="3"/>
  <c r="N13" i="3"/>
  <c r="O13" i="3"/>
  <c r="P13" i="3"/>
  <c r="Q13" i="3"/>
  <c r="R13" i="3"/>
  <c r="S13" i="3"/>
  <c r="T13" i="3"/>
  <c r="U13" i="3"/>
  <c r="V13" i="3"/>
  <c r="W13" i="3"/>
  <c r="L15" i="3"/>
  <c r="M15" i="3"/>
  <c r="N15" i="3"/>
  <c r="O15" i="3"/>
  <c r="P15" i="3"/>
  <c r="Q15" i="3"/>
  <c r="R15" i="3"/>
  <c r="S15" i="3"/>
  <c r="T15" i="3"/>
  <c r="U15" i="3"/>
  <c r="V15" i="3"/>
  <c r="W15" i="3"/>
  <c r="L19" i="3"/>
  <c r="M19" i="3"/>
  <c r="N19" i="3"/>
  <c r="O19" i="3"/>
  <c r="P19" i="3"/>
  <c r="Q19" i="3"/>
  <c r="R19" i="3"/>
  <c r="S19" i="3"/>
  <c r="T19" i="3"/>
  <c r="U19" i="3"/>
  <c r="V19" i="3"/>
  <c r="W19" i="3"/>
  <c r="L20" i="3"/>
  <c r="M20" i="3"/>
  <c r="N20" i="3"/>
  <c r="O20" i="3"/>
  <c r="P20" i="3"/>
  <c r="Q20" i="3"/>
  <c r="R20" i="3"/>
  <c r="S20" i="3"/>
  <c r="T20" i="3"/>
  <c r="U20" i="3"/>
  <c r="V20" i="3"/>
  <c r="W20" i="3"/>
  <c r="L25" i="3"/>
  <c r="M25" i="3"/>
  <c r="N25" i="3"/>
  <c r="O25" i="3"/>
  <c r="P25" i="3"/>
  <c r="Q25" i="3"/>
  <c r="R25" i="3"/>
  <c r="S25" i="3"/>
  <c r="T25" i="3"/>
  <c r="U25" i="3"/>
  <c r="V25" i="3"/>
  <c r="W25" i="3"/>
  <c r="L22" i="3"/>
  <c r="M22" i="3"/>
  <c r="N22" i="3"/>
  <c r="O22" i="3"/>
  <c r="P22" i="3"/>
  <c r="Q22" i="3"/>
  <c r="R22" i="3"/>
  <c r="S22" i="3"/>
  <c r="T22" i="3"/>
  <c r="U22" i="3"/>
  <c r="V22" i="3"/>
  <c r="W22" i="3"/>
  <c r="L21" i="3"/>
  <c r="M21" i="3"/>
  <c r="N21" i="3"/>
  <c r="P21" i="3"/>
  <c r="Q21" i="3"/>
  <c r="R21" i="3"/>
  <c r="S21" i="3"/>
  <c r="T21" i="3"/>
  <c r="U21" i="3"/>
  <c r="V21" i="3"/>
  <c r="W21" i="3"/>
  <c r="L17" i="3"/>
  <c r="M17" i="3"/>
  <c r="N17" i="3"/>
  <c r="O17" i="3"/>
  <c r="P17" i="3"/>
  <c r="Q17" i="3"/>
  <c r="R17" i="3"/>
  <c r="S17" i="3"/>
  <c r="T17" i="3"/>
  <c r="U17" i="3"/>
  <c r="V17" i="3"/>
  <c r="W17" i="3"/>
  <c r="L24" i="3"/>
  <c r="M24" i="3"/>
  <c r="N24" i="3"/>
  <c r="O24" i="3"/>
  <c r="P24" i="3"/>
  <c r="Q24" i="3"/>
  <c r="R24" i="3"/>
  <c r="S24" i="3"/>
  <c r="T24" i="3"/>
  <c r="U24" i="3"/>
  <c r="V24" i="3"/>
  <c r="W24" i="3"/>
  <c r="L23" i="3"/>
  <c r="M23" i="3"/>
  <c r="N23" i="3"/>
  <c r="O23" i="3"/>
  <c r="P23" i="3"/>
  <c r="Q23" i="3"/>
  <c r="R23" i="3"/>
  <c r="S23" i="3"/>
  <c r="T23" i="3"/>
  <c r="U23" i="3"/>
  <c r="V23" i="3"/>
  <c r="W23" i="3"/>
  <c r="L14" i="3"/>
  <c r="M14" i="3"/>
  <c r="N14" i="3"/>
  <c r="O14" i="3"/>
  <c r="P14" i="3"/>
  <c r="Q14" i="3"/>
  <c r="R14" i="3"/>
  <c r="S14" i="3"/>
  <c r="T14" i="3"/>
  <c r="U14" i="3"/>
  <c r="V14" i="3"/>
  <c r="W14" i="3"/>
  <c r="L27" i="3"/>
  <c r="M27" i="3"/>
  <c r="N27" i="3"/>
  <c r="O27" i="3"/>
  <c r="P27" i="3"/>
  <c r="Q27" i="3"/>
  <c r="R27" i="3"/>
  <c r="S27" i="3"/>
  <c r="T27" i="3"/>
  <c r="U27" i="3"/>
  <c r="V27" i="3"/>
  <c r="W27" i="3"/>
  <c r="L30" i="3"/>
  <c r="M30" i="3"/>
  <c r="N30" i="3"/>
  <c r="O30" i="3"/>
  <c r="P30" i="3"/>
  <c r="Q30" i="3"/>
  <c r="R30" i="3"/>
  <c r="S30" i="3"/>
  <c r="T30" i="3"/>
  <c r="U30" i="3"/>
  <c r="V30" i="3"/>
  <c r="W30" i="3"/>
  <c r="L34" i="3"/>
  <c r="M34" i="3"/>
  <c r="N34" i="3"/>
  <c r="O34" i="3"/>
  <c r="P34" i="3"/>
  <c r="Q34" i="3"/>
  <c r="R34" i="3"/>
  <c r="S34" i="3"/>
  <c r="T34" i="3"/>
  <c r="U34" i="3"/>
  <c r="V34" i="3"/>
  <c r="W34" i="3"/>
  <c r="L33" i="3"/>
  <c r="M33" i="3"/>
  <c r="N33" i="3"/>
  <c r="O33" i="3"/>
  <c r="P33" i="3"/>
  <c r="Q33" i="3"/>
  <c r="R33" i="3"/>
  <c r="S33" i="3"/>
  <c r="T33" i="3"/>
  <c r="U33" i="3"/>
  <c r="V33" i="3"/>
  <c r="W33" i="3"/>
  <c r="L29" i="3"/>
  <c r="M29" i="3"/>
  <c r="N29" i="3"/>
  <c r="O29" i="3"/>
  <c r="P29" i="3"/>
  <c r="Q29" i="3"/>
  <c r="R29" i="3"/>
  <c r="S29" i="3"/>
  <c r="T29" i="3"/>
  <c r="U29" i="3"/>
  <c r="V29" i="3"/>
  <c r="W29" i="3"/>
  <c r="M36" i="3"/>
  <c r="N36" i="3"/>
  <c r="O36" i="3"/>
  <c r="P36" i="3"/>
  <c r="Q36" i="3"/>
  <c r="R36" i="3"/>
  <c r="S36" i="3"/>
  <c r="T36" i="3"/>
  <c r="U36" i="3"/>
  <c r="V36" i="3"/>
  <c r="G33" i="3"/>
  <c r="H33" i="3" s="1"/>
  <c r="J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R33" i="3"/>
  <c r="AS33" i="3"/>
  <c r="AT33" i="3"/>
  <c r="AV33" i="3"/>
  <c r="G29" i="3"/>
  <c r="H29" i="3" s="1"/>
  <c r="J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R29" i="3"/>
  <c r="AS29" i="3"/>
  <c r="AT29" i="3"/>
  <c r="AV29" i="3"/>
  <c r="G36" i="3"/>
  <c r="H36" i="3" s="1"/>
  <c r="J36" i="3"/>
  <c r="L36" i="3"/>
  <c r="W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R36" i="3"/>
  <c r="AS36" i="3"/>
  <c r="AT36" i="3"/>
  <c r="G31" i="3"/>
  <c r="H31" i="3" s="1"/>
  <c r="J31" i="3"/>
  <c r="L31" i="3"/>
  <c r="M31" i="3"/>
  <c r="N31" i="3"/>
  <c r="O31" i="3"/>
  <c r="P31" i="3"/>
  <c r="Q31" i="3"/>
  <c r="R31" i="3"/>
  <c r="S31" i="3"/>
  <c r="T31" i="3"/>
  <c r="U31" i="3"/>
  <c r="V31" i="3"/>
  <c r="W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R31" i="3"/>
  <c r="AS31" i="3"/>
  <c r="AT31" i="3"/>
  <c r="G28" i="3"/>
  <c r="H28" i="3" s="1"/>
  <c r="J28" i="3"/>
  <c r="L28" i="3"/>
  <c r="M28" i="3"/>
  <c r="N28" i="3"/>
  <c r="O28" i="3"/>
  <c r="P28" i="3"/>
  <c r="Q28" i="3"/>
  <c r="R28" i="3"/>
  <c r="S28" i="3"/>
  <c r="T28" i="3"/>
  <c r="U28" i="3"/>
  <c r="V28" i="3"/>
  <c r="W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R28" i="3"/>
  <c r="AS28" i="3"/>
  <c r="AT28" i="3"/>
  <c r="G35" i="3"/>
  <c r="H35" i="3" s="1"/>
  <c r="J35" i="3"/>
  <c r="L35" i="3"/>
  <c r="M35" i="3"/>
  <c r="N35" i="3"/>
  <c r="O35" i="3"/>
  <c r="P35" i="3"/>
  <c r="Q35" i="3"/>
  <c r="R35" i="3"/>
  <c r="S35" i="3"/>
  <c r="T35" i="3"/>
  <c r="U35" i="3"/>
  <c r="V35" i="3"/>
  <c r="W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R35" i="3"/>
  <c r="AS35" i="3"/>
  <c r="AT35" i="3"/>
  <c r="G21" i="3"/>
  <c r="H21" i="3" s="1"/>
  <c r="J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R21" i="3"/>
  <c r="AS21" i="3"/>
  <c r="AT21" i="3"/>
  <c r="G17" i="3"/>
  <c r="H17" i="3" s="1"/>
  <c r="J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R17" i="3"/>
  <c r="AS17" i="3"/>
  <c r="AT17" i="3"/>
  <c r="G24" i="3"/>
  <c r="H24" i="3" s="1"/>
  <c r="J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R24" i="3"/>
  <c r="AS24" i="3"/>
  <c r="AT24" i="3"/>
  <c r="G23" i="3"/>
  <c r="H23" i="3" s="1"/>
  <c r="J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R23" i="3"/>
  <c r="AS23" i="3"/>
  <c r="AT23" i="3"/>
  <c r="G14" i="3"/>
  <c r="H14" i="3" s="1"/>
  <c r="J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R14" i="3"/>
  <c r="AS14" i="3"/>
  <c r="AT14" i="3"/>
  <c r="G27" i="3"/>
  <c r="H27" i="3" s="1"/>
  <c r="J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R27" i="3"/>
  <c r="AS27" i="3"/>
  <c r="AT27" i="3"/>
  <c r="G30" i="3"/>
  <c r="H30" i="3" s="1"/>
  <c r="J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R30" i="3"/>
  <c r="AS30" i="3"/>
  <c r="AT30" i="3"/>
  <c r="G34" i="3"/>
  <c r="H34" i="3" s="1"/>
  <c r="J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R34" i="3"/>
  <c r="AS34" i="3"/>
  <c r="AT34" i="3"/>
  <c r="G32" i="3"/>
  <c r="H32" i="3" s="1"/>
  <c r="J32" i="3"/>
  <c r="L32" i="3"/>
  <c r="M32" i="3"/>
  <c r="N32" i="3"/>
  <c r="O32" i="3"/>
  <c r="P32" i="3"/>
  <c r="Q32" i="3"/>
  <c r="R32" i="3"/>
  <c r="S32" i="3"/>
  <c r="T32" i="3"/>
  <c r="U32" i="3"/>
  <c r="V32" i="3"/>
  <c r="W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R32" i="3"/>
  <c r="AS32" i="3"/>
  <c r="AT32" i="3"/>
  <c r="G37" i="3"/>
  <c r="H37" i="3" s="1"/>
  <c r="J37" i="3"/>
  <c r="L37" i="3"/>
  <c r="M37" i="3"/>
  <c r="N37" i="3"/>
  <c r="O37" i="3"/>
  <c r="P37" i="3"/>
  <c r="Q37" i="3"/>
  <c r="R37" i="3"/>
  <c r="S37" i="3"/>
  <c r="T37" i="3"/>
  <c r="U37" i="3"/>
  <c r="V37" i="3"/>
  <c r="W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R37" i="3"/>
  <c r="AS37" i="3"/>
  <c r="AT37" i="3"/>
  <c r="W39" i="3"/>
  <c r="W38" i="3"/>
  <c r="S39" i="3"/>
  <c r="S38" i="3"/>
  <c r="I15" i="12" l="1"/>
  <c r="AX15" i="12" s="1"/>
  <c r="K16" i="12"/>
  <c r="K15" i="12"/>
  <c r="K26" i="12"/>
  <c r="K31" i="12"/>
  <c r="I24" i="12"/>
  <c r="AX24" i="12" s="1"/>
  <c r="I14" i="12"/>
  <c r="K24" i="12"/>
  <c r="K36" i="12"/>
  <c r="K21" i="12"/>
  <c r="K18" i="12"/>
  <c r="K20" i="12"/>
  <c r="I30" i="12"/>
  <c r="AX30" i="12" s="1"/>
  <c r="K33" i="12"/>
  <c r="K22" i="12"/>
  <c r="I17" i="12"/>
  <c r="AX17" i="12" s="1"/>
  <c r="I23" i="12"/>
  <c r="K13" i="12"/>
  <c r="I27" i="12"/>
  <c r="AX27" i="12" s="1"/>
  <c r="I31" i="12"/>
  <c r="K35" i="12"/>
  <c r="AX35" i="12" s="1"/>
  <c r="K38" i="12"/>
  <c r="I36" i="12"/>
  <c r="AX36" i="12" s="1"/>
  <c r="I28" i="12"/>
  <c r="AX28" i="12" s="1"/>
  <c r="K27" i="12"/>
  <c r="K39" i="12"/>
  <c r="I25" i="12"/>
  <c r="AX25" i="12" s="1"/>
  <c r="I13" i="12"/>
  <c r="AX13" i="12" s="1"/>
  <c r="I35" i="12"/>
  <c r="I34" i="12"/>
  <c r="AX34" i="12" s="1"/>
  <c r="K34" i="12"/>
  <c r="I38" i="12"/>
  <c r="AX38" i="12" s="1"/>
  <c r="I29" i="12"/>
  <c r="AX29" i="12" s="1"/>
  <c r="K12" i="12"/>
  <c r="K28" i="12"/>
  <c r="I22" i="12"/>
  <c r="I16" i="12"/>
  <c r="AX16" i="12" s="1"/>
  <c r="K19" i="12"/>
  <c r="I32" i="12"/>
  <c r="AX32" i="12" s="1"/>
  <c r="I21" i="12"/>
  <c r="AX21" i="12" s="1"/>
  <c r="I20" i="12"/>
  <c r="K25" i="12"/>
  <c r="I19" i="12"/>
  <c r="AX19" i="12" s="1"/>
  <c r="K17" i="12"/>
  <c r="I39" i="12"/>
  <c r="K37" i="12"/>
  <c r="I37" i="12"/>
  <c r="I33" i="12"/>
  <c r="I26" i="12"/>
  <c r="AX26" i="12" s="1"/>
  <c r="K32" i="12"/>
  <c r="I12" i="12"/>
  <c r="I18" i="12"/>
  <c r="K29" i="12"/>
  <c r="K23" i="12"/>
  <c r="K14" i="12"/>
  <c r="K30" i="12"/>
  <c r="AU28" i="13"/>
  <c r="AU20" i="13"/>
  <c r="AU37" i="13"/>
  <c r="AU22" i="13"/>
  <c r="AU31" i="13"/>
  <c r="AU30" i="13"/>
  <c r="AU23" i="13"/>
  <c r="AU26" i="13"/>
  <c r="AU15" i="13"/>
  <c r="AU18" i="13"/>
  <c r="AU29" i="13"/>
  <c r="AU35" i="13"/>
  <c r="AU16" i="13"/>
  <c r="AU21" i="13"/>
  <c r="AU34" i="13"/>
  <c r="AU36" i="13"/>
  <c r="AU33" i="13"/>
  <c r="AU25" i="13"/>
  <c r="AU14" i="13"/>
  <c r="AU24" i="13"/>
  <c r="AU13" i="13"/>
  <c r="AU19" i="13"/>
  <c r="AX20" i="12"/>
  <c r="AX33" i="12"/>
  <c r="AX31" i="12"/>
  <c r="AX18" i="12"/>
  <c r="AX22" i="12"/>
  <c r="AX14" i="12"/>
  <c r="K33" i="3"/>
  <c r="I33" i="3"/>
  <c r="AX33" i="3" s="1"/>
  <c r="AW33" i="3"/>
  <c r="I29" i="3"/>
  <c r="AX29" i="3" s="1"/>
  <c r="AV31" i="3"/>
  <c r="K29" i="3"/>
  <c r="AW29" i="3"/>
  <c r="AV35" i="3"/>
  <c r="I36" i="3"/>
  <c r="AX36" i="3" s="1"/>
  <c r="AV28" i="3"/>
  <c r="K36" i="3"/>
  <c r="AW36" i="3"/>
  <c r="AV36" i="3"/>
  <c r="I31" i="3"/>
  <c r="AX31" i="3" s="1"/>
  <c r="K31" i="3"/>
  <c r="AW31" i="3"/>
  <c r="I28" i="3"/>
  <c r="AX28" i="3" s="1"/>
  <c r="K28" i="3"/>
  <c r="AW28" i="3"/>
  <c r="I35" i="3"/>
  <c r="AX35" i="3" s="1"/>
  <c r="K35" i="3"/>
  <c r="AW35" i="3"/>
  <c r="I21" i="3"/>
  <c r="K21" i="3"/>
  <c r="AW21" i="3"/>
  <c r="AV21" i="3"/>
  <c r="AV14" i="3"/>
  <c r="I17" i="3"/>
  <c r="K17" i="3"/>
  <c r="AW17" i="3"/>
  <c r="AV17" i="3"/>
  <c r="AV23" i="3"/>
  <c r="AV27" i="3"/>
  <c r="I24" i="3"/>
  <c r="AX24" i="3" s="1"/>
  <c r="K24" i="3"/>
  <c r="AW24" i="3"/>
  <c r="AV24" i="3"/>
  <c r="I23" i="3"/>
  <c r="AX23" i="3" s="1"/>
  <c r="K23" i="3"/>
  <c r="AW23" i="3"/>
  <c r="I14" i="3"/>
  <c r="AX14" i="3" s="1"/>
  <c r="AV30" i="3"/>
  <c r="K14" i="3"/>
  <c r="AW14" i="3"/>
  <c r="I27" i="3"/>
  <c r="AX27" i="3" s="1"/>
  <c r="AV34" i="3"/>
  <c r="K27" i="3"/>
  <c r="AW27" i="3"/>
  <c r="I30" i="3"/>
  <c r="AX30" i="3" s="1"/>
  <c r="AV32" i="3"/>
  <c r="K30" i="3"/>
  <c r="AW30" i="3"/>
  <c r="I34" i="3"/>
  <c r="AX34" i="3" s="1"/>
  <c r="K34" i="3"/>
  <c r="AW34" i="3"/>
  <c r="I37" i="3"/>
  <c r="AX37" i="3" s="1"/>
  <c r="K37" i="3"/>
  <c r="I32" i="3"/>
  <c r="AX32" i="3" s="1"/>
  <c r="K32" i="3"/>
  <c r="AW37" i="3"/>
  <c r="AW32" i="3"/>
  <c r="AV37" i="3"/>
  <c r="AO39" i="3"/>
  <c r="AO20" i="3"/>
  <c r="AO15" i="3"/>
  <c r="AO22" i="3"/>
  <c r="AO16" i="3"/>
  <c r="AO12" i="3"/>
  <c r="AO26" i="3"/>
  <c r="AO13" i="3"/>
  <c r="AO18" i="3"/>
  <c r="AO19" i="3"/>
  <c r="AO38" i="3"/>
  <c r="AO25" i="3"/>
  <c r="T39" i="3"/>
  <c r="U39" i="3"/>
  <c r="V39" i="3"/>
  <c r="T38" i="3"/>
  <c r="U38" i="3"/>
  <c r="V38" i="3"/>
  <c r="L39" i="3"/>
  <c r="M39" i="3"/>
  <c r="N39" i="3"/>
  <c r="O39" i="3"/>
  <c r="P39" i="3"/>
  <c r="Q39" i="3"/>
  <c r="R39" i="3"/>
  <c r="L38" i="3"/>
  <c r="M38" i="3"/>
  <c r="N38" i="3"/>
  <c r="O38" i="3"/>
  <c r="P38" i="3"/>
  <c r="Q38" i="3"/>
  <c r="R38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G39" i="3"/>
  <c r="H39" i="3" s="1"/>
  <c r="G25" i="3"/>
  <c r="H25" i="3" s="1"/>
  <c r="G19" i="3"/>
  <c r="H19" i="3" s="1"/>
  <c r="G20" i="3"/>
  <c r="H20" i="3" s="1"/>
  <c r="J39" i="3"/>
  <c r="J25" i="3"/>
  <c r="J19" i="3"/>
  <c r="J20" i="3"/>
  <c r="AR25" i="3"/>
  <c r="AR19" i="3"/>
  <c r="AR20" i="3"/>
  <c r="AS25" i="3"/>
  <c r="AS19" i="3"/>
  <c r="AS20" i="3"/>
  <c r="AT25" i="3"/>
  <c r="AT19" i="3"/>
  <c r="AT20" i="3"/>
  <c r="D30" i="11"/>
  <c r="AZ32" i="11" s="1"/>
  <c r="BE29" i="11"/>
  <c r="BA29" i="11"/>
  <c r="AZ29" i="11"/>
  <c r="AY29" i="11"/>
  <c r="AX29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O29" i="11" s="1"/>
  <c r="Q29" i="11"/>
  <c r="BG29" i="11" s="1"/>
  <c r="P29" i="11"/>
  <c r="M29" i="11"/>
  <c r="N29" i="11" s="1"/>
  <c r="L29" i="11"/>
  <c r="BF29" i="11" s="1"/>
  <c r="K29" i="11"/>
  <c r="H29" i="11"/>
  <c r="I29" i="11" s="1"/>
  <c r="BE28" i="11"/>
  <c r="BA28" i="11"/>
  <c r="AZ28" i="11"/>
  <c r="AY28" i="11"/>
  <c r="AX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Q28" i="11" s="1"/>
  <c r="BG28" i="11" s="1"/>
  <c r="AI28" i="11"/>
  <c r="AH28" i="11"/>
  <c r="AG28" i="11"/>
  <c r="AF28" i="11"/>
  <c r="AE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O28" i="11" s="1"/>
  <c r="P28" i="11"/>
  <c r="M28" i="11"/>
  <c r="N28" i="11" s="1"/>
  <c r="L28" i="11"/>
  <c r="BF28" i="11" s="1"/>
  <c r="K28" i="11"/>
  <c r="H28" i="11"/>
  <c r="I28" i="11" s="1"/>
  <c r="BE27" i="11"/>
  <c r="BA27" i="11"/>
  <c r="AZ27" i="11"/>
  <c r="AY27" i="11"/>
  <c r="AX27" i="11"/>
  <c r="AU27" i="11"/>
  <c r="AT27" i="11"/>
  <c r="AS27" i="11"/>
  <c r="AR27" i="11"/>
  <c r="AQ27" i="11"/>
  <c r="AP27" i="11"/>
  <c r="Q27" i="11" s="1"/>
  <c r="BG27" i="11" s="1"/>
  <c r="AO27" i="11"/>
  <c r="AN27" i="11"/>
  <c r="AM27" i="11"/>
  <c r="AL27" i="11"/>
  <c r="AK27" i="11"/>
  <c r="AJ27" i="11"/>
  <c r="AI27" i="11"/>
  <c r="AH27" i="11"/>
  <c r="AG27" i="11"/>
  <c r="AF27" i="11"/>
  <c r="AE27" i="11"/>
  <c r="AC27" i="11"/>
  <c r="AB27" i="11"/>
  <c r="AA27" i="11"/>
  <c r="Z27" i="11"/>
  <c r="Y27" i="11"/>
  <c r="O27" i="11" s="1"/>
  <c r="X27" i="11"/>
  <c r="W27" i="11"/>
  <c r="V27" i="11"/>
  <c r="U27" i="11"/>
  <c r="T27" i="11"/>
  <c r="S27" i="11"/>
  <c r="R27" i="11"/>
  <c r="P27" i="11"/>
  <c r="M27" i="11"/>
  <c r="BH27" i="11" s="1"/>
  <c r="L27" i="11"/>
  <c r="BF27" i="11" s="1"/>
  <c r="K27" i="11"/>
  <c r="H27" i="11"/>
  <c r="I27" i="11" s="1"/>
  <c r="BE26" i="11"/>
  <c r="BC26" i="11"/>
  <c r="BA26" i="11"/>
  <c r="AZ26" i="11"/>
  <c r="AY26" i="11"/>
  <c r="AX26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Q26" i="11" s="1"/>
  <c r="BG26" i="11" s="1"/>
  <c r="AC26" i="11"/>
  <c r="AB26" i="11"/>
  <c r="AA26" i="11"/>
  <c r="Z26" i="11"/>
  <c r="Y26" i="11"/>
  <c r="X26" i="11"/>
  <c r="W26" i="11"/>
  <c r="V26" i="11"/>
  <c r="U26" i="11"/>
  <c r="T26" i="11"/>
  <c r="S26" i="11"/>
  <c r="O26" i="11" s="1"/>
  <c r="R26" i="11"/>
  <c r="P26" i="11"/>
  <c r="M26" i="11"/>
  <c r="N26" i="11" s="1"/>
  <c r="L26" i="11"/>
  <c r="BF26" i="11" s="1"/>
  <c r="K26" i="11"/>
  <c r="H26" i="11"/>
  <c r="I26" i="11" s="1"/>
  <c r="BE25" i="11"/>
  <c r="BA25" i="11"/>
  <c r="AZ25" i="11"/>
  <c r="AY25" i="11"/>
  <c r="AX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Q25" i="11" s="1"/>
  <c r="BG25" i="11" s="1"/>
  <c r="AE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O25" i="11" s="1"/>
  <c r="P25" i="11"/>
  <c r="M25" i="11"/>
  <c r="N25" i="11" s="1"/>
  <c r="L25" i="11"/>
  <c r="BF25" i="11" s="1"/>
  <c r="K25" i="11"/>
  <c r="H25" i="11"/>
  <c r="BC25" i="11" s="1"/>
  <c r="BF24" i="11"/>
  <c r="BE24" i="11"/>
  <c r="BA24" i="11"/>
  <c r="AZ24" i="11"/>
  <c r="AY24" i="11"/>
  <c r="AX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Q24" i="11" s="1"/>
  <c r="BG24" i="11" s="1"/>
  <c r="AE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P24" i="11"/>
  <c r="O24" i="11"/>
  <c r="M24" i="11"/>
  <c r="N24" i="11" s="1"/>
  <c r="L24" i="11"/>
  <c r="K24" i="11"/>
  <c r="H24" i="11"/>
  <c r="I24" i="11" s="1"/>
  <c r="BF23" i="11"/>
  <c r="BE23" i="11"/>
  <c r="BC23" i="11"/>
  <c r="BA23" i="11"/>
  <c r="AZ23" i="11"/>
  <c r="AY23" i="11"/>
  <c r="AX23" i="11"/>
  <c r="AU23" i="11"/>
  <c r="AT23" i="11"/>
  <c r="AS23" i="11"/>
  <c r="AR23" i="11"/>
  <c r="AQ23" i="11"/>
  <c r="AP23" i="11"/>
  <c r="AO23" i="11"/>
  <c r="AN23" i="11"/>
  <c r="AM23" i="11"/>
  <c r="AL23" i="11"/>
  <c r="Q23" i="11" s="1"/>
  <c r="BG23" i="11" s="1"/>
  <c r="AK23" i="11"/>
  <c r="AJ23" i="11"/>
  <c r="AI23" i="11"/>
  <c r="AH23" i="11"/>
  <c r="AG23" i="11"/>
  <c r="AF23" i="11"/>
  <c r="AE23" i="11"/>
  <c r="AC23" i="11"/>
  <c r="AB23" i="11"/>
  <c r="AA23" i="11"/>
  <c r="Z23" i="11"/>
  <c r="Y23" i="11"/>
  <c r="X23" i="11"/>
  <c r="W23" i="11"/>
  <c r="V23" i="11"/>
  <c r="U23" i="11"/>
  <c r="O23" i="11" s="1"/>
  <c r="T23" i="11"/>
  <c r="S23" i="11"/>
  <c r="R23" i="11"/>
  <c r="P23" i="11"/>
  <c r="M23" i="11"/>
  <c r="BH23" i="11" s="1"/>
  <c r="L23" i="11"/>
  <c r="K23" i="11"/>
  <c r="H23" i="11"/>
  <c r="I23" i="11" s="1"/>
  <c r="BE22" i="11"/>
  <c r="BC22" i="11"/>
  <c r="BA22" i="11"/>
  <c r="AZ22" i="11"/>
  <c r="AY22" i="11"/>
  <c r="AX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Q22" i="11" s="1"/>
  <c r="BG22" i="11" s="1"/>
  <c r="AC22" i="11"/>
  <c r="AB22" i="11"/>
  <c r="AA22" i="11"/>
  <c r="Z22" i="11"/>
  <c r="Y22" i="11"/>
  <c r="X22" i="11"/>
  <c r="W22" i="11"/>
  <c r="V22" i="11"/>
  <c r="U22" i="11"/>
  <c r="T22" i="11"/>
  <c r="O22" i="11" s="1"/>
  <c r="S22" i="11"/>
  <c r="R22" i="11"/>
  <c r="P22" i="11"/>
  <c r="M22" i="11"/>
  <c r="N22" i="11" s="1"/>
  <c r="L22" i="11"/>
  <c r="BF22" i="11" s="1"/>
  <c r="K22" i="11"/>
  <c r="I22" i="11"/>
  <c r="H22" i="11"/>
  <c r="BE21" i="11"/>
  <c r="BC21" i="11"/>
  <c r="BA21" i="11"/>
  <c r="AZ21" i="11"/>
  <c r="AY21" i="11"/>
  <c r="AX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O21" i="11" s="1"/>
  <c r="Q21" i="11"/>
  <c r="BG21" i="11" s="1"/>
  <c r="P21" i="11"/>
  <c r="M21" i="11"/>
  <c r="N21" i="11" s="1"/>
  <c r="L21" i="11"/>
  <c r="BF21" i="11" s="1"/>
  <c r="K21" i="11"/>
  <c r="I21" i="11"/>
  <c r="H21" i="11"/>
  <c r="BE20" i="11"/>
  <c r="BA20" i="11"/>
  <c r="AZ20" i="11"/>
  <c r="AY20" i="11"/>
  <c r="AX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Q20" i="11" s="1"/>
  <c r="BG20" i="11" s="1"/>
  <c r="AF20" i="11"/>
  <c r="AE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O20" i="11" s="1"/>
  <c r="P20" i="11"/>
  <c r="M20" i="11"/>
  <c r="N20" i="11" s="1"/>
  <c r="L20" i="11"/>
  <c r="BF20" i="11" s="1"/>
  <c r="K20" i="11"/>
  <c r="H20" i="11"/>
  <c r="I20" i="11" s="1"/>
  <c r="BE19" i="11"/>
  <c r="BA19" i="11"/>
  <c r="AZ19" i="11"/>
  <c r="AY19" i="11"/>
  <c r="AX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Q19" i="11" s="1"/>
  <c r="BG19" i="11" s="1"/>
  <c r="AE19" i="11"/>
  <c r="AC19" i="11"/>
  <c r="AB19" i="11"/>
  <c r="AA19" i="11"/>
  <c r="Z19" i="11"/>
  <c r="Y19" i="11"/>
  <c r="X19" i="11"/>
  <c r="W19" i="11"/>
  <c r="V19" i="11"/>
  <c r="O19" i="11" s="1"/>
  <c r="U19" i="11"/>
  <c r="T19" i="11"/>
  <c r="S19" i="11"/>
  <c r="R19" i="11"/>
  <c r="P19" i="11"/>
  <c r="M19" i="11"/>
  <c r="BH19" i="11" s="1"/>
  <c r="L19" i="11"/>
  <c r="BF19" i="11" s="1"/>
  <c r="K19" i="11"/>
  <c r="H19" i="11"/>
  <c r="I19" i="11" s="1"/>
  <c r="BE18" i="11"/>
  <c r="BC18" i="11"/>
  <c r="BA18" i="11"/>
  <c r="AZ18" i="11"/>
  <c r="AY18" i="11"/>
  <c r="AX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Q18" i="11" s="1"/>
  <c r="BG18" i="11" s="1"/>
  <c r="AC18" i="11"/>
  <c r="AB18" i="11"/>
  <c r="AA18" i="11"/>
  <c r="Z18" i="11"/>
  <c r="Y18" i="11"/>
  <c r="X18" i="11"/>
  <c r="W18" i="11"/>
  <c r="V18" i="11"/>
  <c r="U18" i="11"/>
  <c r="T18" i="11"/>
  <c r="S18" i="11"/>
  <c r="O18" i="11" s="1"/>
  <c r="R18" i="11"/>
  <c r="P18" i="11"/>
  <c r="M18" i="11"/>
  <c r="N18" i="11" s="1"/>
  <c r="L18" i="11"/>
  <c r="BF18" i="11" s="1"/>
  <c r="K18" i="11"/>
  <c r="H18" i="11"/>
  <c r="I18" i="11" s="1"/>
  <c r="BE17" i="11"/>
  <c r="BA17" i="11"/>
  <c r="AZ17" i="11"/>
  <c r="AY17" i="11"/>
  <c r="AX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Q17" i="11" s="1"/>
  <c r="BG17" i="11" s="1"/>
  <c r="AE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O17" i="11" s="1"/>
  <c r="P17" i="11"/>
  <c r="M17" i="11"/>
  <c r="N17" i="11" s="1"/>
  <c r="L17" i="11"/>
  <c r="BF17" i="11" s="1"/>
  <c r="K17" i="11"/>
  <c r="H17" i="11"/>
  <c r="BC17" i="11" s="1"/>
  <c r="BF16" i="11"/>
  <c r="BE16" i="11"/>
  <c r="BA16" i="11"/>
  <c r="AZ16" i="11"/>
  <c r="AY16" i="11"/>
  <c r="AX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Q16" i="11" s="1"/>
  <c r="BG16" i="11" s="1"/>
  <c r="AE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P16" i="11"/>
  <c r="O16" i="11"/>
  <c r="M16" i="11"/>
  <c r="BH16" i="11" s="1"/>
  <c r="L16" i="11"/>
  <c r="K16" i="11"/>
  <c r="H16" i="11"/>
  <c r="I16" i="11" s="1"/>
  <c r="BF15" i="11"/>
  <c r="BE15" i="11"/>
  <c r="BC15" i="11"/>
  <c r="BA15" i="11"/>
  <c r="AZ15" i="11"/>
  <c r="AY15" i="11"/>
  <c r="AX15" i="11"/>
  <c r="AU15" i="11"/>
  <c r="AT15" i="11"/>
  <c r="AS15" i="11"/>
  <c r="AR15" i="11"/>
  <c r="AQ15" i="11"/>
  <c r="AP15" i="11"/>
  <c r="AO15" i="11"/>
  <c r="AN15" i="11"/>
  <c r="AM15" i="11"/>
  <c r="AL15" i="11"/>
  <c r="Q15" i="11" s="1"/>
  <c r="BG15" i="11" s="1"/>
  <c r="AK15" i="11"/>
  <c r="AJ15" i="11"/>
  <c r="AI15" i="11"/>
  <c r="AH15" i="11"/>
  <c r="AG15" i="11"/>
  <c r="AF15" i="11"/>
  <c r="AE15" i="11"/>
  <c r="AC15" i="11"/>
  <c r="AB15" i="11"/>
  <c r="AA15" i="11"/>
  <c r="Z15" i="11"/>
  <c r="Y15" i="11"/>
  <c r="X15" i="11"/>
  <c r="W15" i="11"/>
  <c r="V15" i="11"/>
  <c r="U15" i="11"/>
  <c r="O15" i="11" s="1"/>
  <c r="T15" i="11"/>
  <c r="S15" i="11"/>
  <c r="R15" i="11"/>
  <c r="P15" i="11"/>
  <c r="M15" i="11"/>
  <c r="BH15" i="11" s="1"/>
  <c r="L15" i="11"/>
  <c r="K15" i="11"/>
  <c r="H15" i="11"/>
  <c r="I15" i="11" s="1"/>
  <c r="BE14" i="11"/>
  <c r="BC14" i="11"/>
  <c r="BA14" i="11"/>
  <c r="AZ14" i="11"/>
  <c r="AY14" i="11"/>
  <c r="AX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Q14" i="11" s="1"/>
  <c r="BG14" i="11" s="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O14" i="11" s="1"/>
  <c r="P14" i="11"/>
  <c r="M14" i="11"/>
  <c r="N14" i="11" s="1"/>
  <c r="L14" i="11"/>
  <c r="BF14" i="11" s="1"/>
  <c r="K14" i="11"/>
  <c r="I14" i="11"/>
  <c r="BD14" i="11" s="1"/>
  <c r="H14" i="11"/>
  <c r="BE13" i="11"/>
  <c r="BA13" i="11"/>
  <c r="AZ13" i="11"/>
  <c r="AY13" i="11"/>
  <c r="AX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Q13" i="11" s="1"/>
  <c r="BG13" i="11" s="1"/>
  <c r="AE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O13" i="11" s="1"/>
  <c r="P13" i="11"/>
  <c r="M13" i="11"/>
  <c r="N13" i="11" s="1"/>
  <c r="L13" i="11"/>
  <c r="BF13" i="11" s="1"/>
  <c r="K13" i="11"/>
  <c r="H13" i="11"/>
  <c r="I13" i="11" s="1"/>
  <c r="BF12" i="11"/>
  <c r="BE12" i="11"/>
  <c r="BD12" i="11"/>
  <c r="BC12" i="11"/>
  <c r="BA12" i="11"/>
  <c r="AZ12" i="11"/>
  <c r="AY12" i="11"/>
  <c r="AX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Q12" i="11" s="1"/>
  <c r="BG12" i="11" s="1"/>
  <c r="AB12" i="11"/>
  <c r="AA12" i="11"/>
  <c r="Z12" i="11"/>
  <c r="Y12" i="11"/>
  <c r="X12" i="11"/>
  <c r="W12" i="11"/>
  <c r="V12" i="11"/>
  <c r="U12" i="11"/>
  <c r="T12" i="11"/>
  <c r="S12" i="11"/>
  <c r="O12" i="11" s="1"/>
  <c r="R12" i="11"/>
  <c r="P12" i="11"/>
  <c r="M12" i="11"/>
  <c r="N12" i="11" s="1"/>
  <c r="L12" i="11"/>
  <c r="K12" i="11"/>
  <c r="I12" i="11"/>
  <c r="H12" i="11"/>
  <c r="BA9" i="11"/>
  <c r="Q6" i="11"/>
  <c r="AW4" i="11"/>
  <c r="BE3" i="11"/>
  <c r="AW3" i="11"/>
  <c r="G15" i="3"/>
  <c r="H15" i="3" s="1"/>
  <c r="J15" i="3"/>
  <c r="AR15" i="3"/>
  <c r="AS15" i="3"/>
  <c r="AT15" i="3"/>
  <c r="K12" i="3" l="1"/>
  <c r="A36" i="12"/>
  <c r="A37" i="12"/>
  <c r="A33" i="12"/>
  <c r="A19" i="12"/>
  <c r="A23" i="12"/>
  <c r="AX12" i="12"/>
  <c r="A12" i="12"/>
  <c r="A18" i="12"/>
  <c r="A21" i="12"/>
  <c r="A30" i="12"/>
  <c r="A13" i="12"/>
  <c r="A35" i="12"/>
  <c r="A16" i="12"/>
  <c r="A39" i="12"/>
  <c r="A20" i="12"/>
  <c r="A38" i="12"/>
  <c r="AX37" i="12"/>
  <c r="A28" i="12"/>
  <c r="AX23" i="12"/>
  <c r="A29" i="12"/>
  <c r="A27" i="12"/>
  <c r="A32" i="12"/>
  <c r="A25" i="12"/>
  <c r="A14" i="12"/>
  <c r="A24" i="12"/>
  <c r="A34" i="12"/>
  <c r="A26" i="12"/>
  <c r="A22" i="12"/>
  <c r="A17" i="12"/>
  <c r="A15" i="12"/>
  <c r="A31" i="12"/>
  <c r="A19" i="13"/>
  <c r="AN19" i="13" s="1"/>
  <c r="A30" i="13"/>
  <c r="AN30" i="13" s="1"/>
  <c r="A39" i="13"/>
  <c r="A33" i="13"/>
  <c r="AN33" i="13" s="1"/>
  <c r="A27" i="13"/>
  <c r="AN27" i="13" s="1"/>
  <c r="AU27" i="13"/>
  <c r="A24" i="13"/>
  <c r="AN24" i="13" s="1"/>
  <c r="A38" i="13"/>
  <c r="A35" i="13"/>
  <c r="AN35" i="13" s="1"/>
  <c r="A14" i="13"/>
  <c r="AN14" i="13" s="1"/>
  <c r="A34" i="13"/>
  <c r="AN34" i="13" s="1"/>
  <c r="A18" i="13"/>
  <c r="AN18" i="13" s="1"/>
  <c r="A37" i="13"/>
  <c r="AN37" i="13" s="1"/>
  <c r="A28" i="13"/>
  <c r="AN28" i="13" s="1"/>
  <c r="A22" i="13"/>
  <c r="AN22" i="13" s="1"/>
  <c r="AN13" i="13"/>
  <c r="A29" i="13"/>
  <c r="AN29" i="13" s="1"/>
  <c r="A25" i="13"/>
  <c r="AN25" i="13" s="1"/>
  <c r="A21" i="13"/>
  <c r="AN21" i="13" s="1"/>
  <c r="A26" i="13"/>
  <c r="AN26" i="13" s="1"/>
  <c r="AN15" i="13"/>
  <c r="A20" i="13"/>
  <c r="AN20" i="13" s="1"/>
  <c r="A31" i="13"/>
  <c r="AN31" i="13" s="1"/>
  <c r="A36" i="13"/>
  <c r="AN36" i="13" s="1"/>
  <c r="A17" i="13"/>
  <c r="AN17" i="13" s="1"/>
  <c r="A16" i="13"/>
  <c r="AN16" i="13" s="1"/>
  <c r="A12" i="13"/>
  <c r="AN12" i="13" s="1"/>
  <c r="AU17" i="13"/>
  <c r="AU38" i="13"/>
  <c r="AU12" i="13"/>
  <c r="AU32" i="13"/>
  <c r="A23" i="13"/>
  <c r="AN23" i="13" s="1"/>
  <c r="A32" i="13"/>
  <c r="AN32" i="13" s="1"/>
  <c r="AX17" i="3"/>
  <c r="AX21" i="3"/>
  <c r="AV25" i="3"/>
  <c r="AV19" i="3"/>
  <c r="N15" i="11"/>
  <c r="BJ15" i="11" s="1"/>
  <c r="BH24" i="11"/>
  <c r="BH13" i="11"/>
  <c r="BJ24" i="11"/>
  <c r="BI24" i="11"/>
  <c r="N23" i="11"/>
  <c r="BJ23" i="11" s="1"/>
  <c r="N16" i="11"/>
  <c r="G16" i="11" s="1"/>
  <c r="BH20" i="11"/>
  <c r="K39" i="3"/>
  <c r="K20" i="3"/>
  <c r="K19" i="3"/>
  <c r="K25" i="3"/>
  <c r="I20" i="3"/>
  <c r="I19" i="3"/>
  <c r="I25" i="3"/>
  <c r="I39" i="3"/>
  <c r="AW20" i="3"/>
  <c r="AW19" i="3"/>
  <c r="AW25" i="3"/>
  <c r="AV20" i="3"/>
  <c r="BJ13" i="11"/>
  <c r="BI13" i="11"/>
  <c r="G28" i="11"/>
  <c r="BD28" i="11"/>
  <c r="G26" i="11"/>
  <c r="BD26" i="11"/>
  <c r="BD19" i="11"/>
  <c r="G21" i="11"/>
  <c r="BJ28" i="11"/>
  <c r="BI28" i="11"/>
  <c r="BD23" i="11"/>
  <c r="BJ26" i="11"/>
  <c r="BI26" i="11"/>
  <c r="BJ21" i="11"/>
  <c r="BI21" i="11"/>
  <c r="BJ17" i="11"/>
  <c r="BI17" i="11"/>
  <c r="BD16" i="11"/>
  <c r="G29" i="11"/>
  <c r="BD29" i="11"/>
  <c r="BJ12" i="11"/>
  <c r="BI12" i="11"/>
  <c r="G12" i="11"/>
  <c r="BJ14" i="11"/>
  <c r="BI14" i="11"/>
  <c r="G20" i="11"/>
  <c r="BD20" i="11"/>
  <c r="BD27" i="11"/>
  <c r="G18" i="11"/>
  <c r="BD18" i="11"/>
  <c r="BJ29" i="11"/>
  <c r="BI29" i="11"/>
  <c r="BJ20" i="11"/>
  <c r="BI20" i="11"/>
  <c r="G22" i="11"/>
  <c r="BJ18" i="11"/>
  <c r="BI18" i="11"/>
  <c r="BJ25" i="11"/>
  <c r="BI25" i="11"/>
  <c r="G24" i="11"/>
  <c r="BD24" i="11"/>
  <c r="G13" i="11"/>
  <c r="BD13" i="11"/>
  <c r="BD15" i="11"/>
  <c r="BJ22" i="11"/>
  <c r="BI22" i="11"/>
  <c r="G14" i="11"/>
  <c r="BC20" i="11"/>
  <c r="BC28" i="11"/>
  <c r="BH14" i="11"/>
  <c r="BH22" i="11"/>
  <c r="I17" i="11"/>
  <c r="BH17" i="11"/>
  <c r="N19" i="11"/>
  <c r="G19" i="11" s="1"/>
  <c r="I25" i="11"/>
  <c r="BH25" i="11"/>
  <c r="N27" i="11"/>
  <c r="G27" i="11" s="1"/>
  <c r="BH28" i="11"/>
  <c r="BH12" i="11"/>
  <c r="BC29" i="11"/>
  <c r="BC13" i="11"/>
  <c r="BD21" i="11"/>
  <c r="BC16" i="11"/>
  <c r="BC24" i="11"/>
  <c r="BH18" i="11"/>
  <c r="BH26" i="11"/>
  <c r="BC19" i="11"/>
  <c r="BC27" i="11"/>
  <c r="BH21" i="11"/>
  <c r="BH29" i="11"/>
  <c r="BD22" i="11"/>
  <c r="K15" i="3"/>
  <c r="AV15" i="3"/>
  <c r="I15" i="3"/>
  <c r="AW15" i="3"/>
  <c r="AX25" i="3" l="1"/>
  <c r="AX19" i="3"/>
  <c r="AX20" i="3"/>
  <c r="BI15" i="11"/>
  <c r="G15" i="11"/>
  <c r="BI23" i="11"/>
  <c r="BJ16" i="11"/>
  <c r="BI16" i="11"/>
  <c r="G23" i="11"/>
  <c r="BB23" i="11" s="1"/>
  <c r="AX15" i="3"/>
  <c r="BB19" i="11"/>
  <c r="BB27" i="11"/>
  <c r="BJ27" i="11"/>
  <c r="BI27" i="11"/>
  <c r="BB13" i="11"/>
  <c r="BB20" i="11"/>
  <c r="BD17" i="11"/>
  <c r="G17" i="11"/>
  <c r="BB21" i="11"/>
  <c r="BD25" i="11"/>
  <c r="G25" i="11"/>
  <c r="BB12" i="11"/>
  <c r="BB24" i="11"/>
  <c r="BB22" i="11"/>
  <c r="BJ19" i="11"/>
  <c r="BI19" i="11"/>
  <c r="BB29" i="11"/>
  <c r="BB26" i="11"/>
  <c r="BB14" i="11"/>
  <c r="BB16" i="11"/>
  <c r="BB28" i="11"/>
  <c r="BB18" i="11"/>
  <c r="A12" i="11" l="1"/>
  <c r="AW12" i="11" s="1"/>
  <c r="A26" i="11"/>
  <c r="BB15" i="11"/>
  <c r="A21" i="11"/>
  <c r="BB17" i="11"/>
  <c r="A17" i="11"/>
  <c r="A29" i="11"/>
  <c r="A13" i="11"/>
  <c r="AW13" i="11" s="1"/>
  <c r="A22" i="11"/>
  <c r="A20" i="11"/>
  <c r="A18" i="11"/>
  <c r="A23" i="11"/>
  <c r="A27" i="11"/>
  <c r="A16" i="11"/>
  <c r="A15" i="11"/>
  <c r="AW15" i="11" s="1"/>
  <c r="BB25" i="11"/>
  <c r="A25" i="11"/>
  <c r="A28" i="11"/>
  <c r="A24" i="11"/>
  <c r="A14" i="11"/>
  <c r="AW14" i="11" s="1"/>
  <c r="A19" i="11"/>
  <c r="J23" i="9" l="1"/>
  <c r="J22" i="9"/>
  <c r="J21" i="9"/>
  <c r="J20" i="9"/>
  <c r="I20" i="9"/>
  <c r="AT42" i="3"/>
  <c r="J26" i="3"/>
  <c r="J22" i="3"/>
  <c r="J16" i="3"/>
  <c r="J38" i="3"/>
  <c r="J12" i="3"/>
  <c r="J13" i="3"/>
  <c r="J18" i="3"/>
  <c r="AV26" i="3"/>
  <c r="AV22" i="3"/>
  <c r="AV16" i="3"/>
  <c r="AV38" i="3"/>
  <c r="AV18" i="3"/>
  <c r="G26" i="3"/>
  <c r="G22" i="3"/>
  <c r="H22" i="3" s="1"/>
  <c r="G16" i="3"/>
  <c r="H16" i="3" s="1"/>
  <c r="G38" i="3"/>
  <c r="G12" i="3"/>
  <c r="H12" i="3" s="1"/>
  <c r="G13" i="3"/>
  <c r="H13" i="3" s="1"/>
  <c r="G18" i="3"/>
  <c r="AT18" i="3"/>
  <c r="AS18" i="3"/>
  <c r="AR18" i="3"/>
  <c r="AT13" i="3"/>
  <c r="AS13" i="3"/>
  <c r="AR13" i="3"/>
  <c r="AT12" i="3"/>
  <c r="AS12" i="3"/>
  <c r="AR12" i="3"/>
  <c r="AT38" i="3"/>
  <c r="AS38" i="3"/>
  <c r="AR38" i="3"/>
  <c r="AT16" i="3"/>
  <c r="AS16" i="3"/>
  <c r="AR16" i="3"/>
  <c r="AT22" i="3"/>
  <c r="AS22" i="3"/>
  <c r="AR22" i="3"/>
  <c r="AT26" i="3"/>
  <c r="AS26" i="3"/>
  <c r="AR26" i="3"/>
  <c r="K6" i="3"/>
  <c r="AQ3" i="3"/>
  <c r="AV12" i="3" l="1"/>
  <c r="H26" i="3"/>
  <c r="AW38" i="3"/>
  <c r="H18" i="3"/>
  <c r="H38" i="3"/>
  <c r="K22" i="3"/>
  <c r="K38" i="3"/>
  <c r="K18" i="3"/>
  <c r="K13" i="3"/>
  <c r="K16" i="3"/>
  <c r="K26" i="3"/>
  <c r="I12" i="3"/>
  <c r="I13" i="3"/>
  <c r="I18" i="3"/>
  <c r="I22" i="3"/>
  <c r="I38" i="3"/>
  <c r="AX38" i="3" s="1"/>
  <c r="I16" i="3"/>
  <c r="AW26" i="3"/>
  <c r="AW22" i="3"/>
  <c r="AW16" i="3"/>
  <c r="AV13" i="3"/>
  <c r="AW13" i="3"/>
  <c r="AW12" i="3"/>
  <c r="AX13" i="3" l="1"/>
  <c r="AX22" i="3"/>
  <c r="AX18" i="3"/>
  <c r="AX16" i="3"/>
  <c r="AX12" i="3"/>
  <c r="AW18" i="3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4" i="2"/>
  <c r="I26" i="3"/>
  <c r="A26" i="3" s="1"/>
  <c r="A31" i="3" l="1"/>
  <c r="A27" i="3"/>
  <c r="A36" i="3"/>
  <c r="A14" i="3"/>
  <c r="A16" i="3"/>
  <c r="A28" i="3"/>
  <c r="A23" i="3"/>
  <c r="A29" i="3"/>
  <c r="A20" i="3"/>
  <c r="A33" i="3"/>
  <c r="A39" i="3"/>
  <c r="A19" i="3"/>
  <c r="A34" i="3"/>
  <c r="A30" i="3"/>
  <c r="A22" i="3"/>
  <c r="A15" i="3"/>
  <c r="A21" i="3"/>
  <c r="A17" i="3"/>
  <c r="A35" i="3"/>
  <c r="A25" i="3"/>
  <c r="A24" i="3"/>
  <c r="A12" i="3"/>
  <c r="A18" i="3"/>
  <c r="A13" i="3"/>
  <c r="A37" i="3"/>
  <c r="A32" i="3"/>
  <c r="AX26" i="3"/>
</calcChain>
</file>

<file path=xl/sharedStrings.xml><?xml version="1.0" encoding="utf-8"?>
<sst xmlns="http://schemas.openxmlformats.org/spreadsheetml/2006/main" count="1248" uniqueCount="388">
  <si>
    <t>Brněnský pohár</t>
  </si>
  <si>
    <t>Místo konání / Place: Brno</t>
  </si>
  <si>
    <t>Výsledková listina / Result list</t>
  </si>
  <si>
    <t>POŘ.</t>
  </si>
  <si>
    <t>ST.Č.</t>
  </si>
  <si>
    <t>UCI ID</t>
  </si>
  <si>
    <t>PŘÍJMENÍ A JMÉNO</t>
  </si>
  <si>
    <t>KLUB</t>
  </si>
  <si>
    <t>KATEGORIE</t>
  </si>
  <si>
    <t>body</t>
  </si>
  <si>
    <t>Scratch</t>
  </si>
  <si>
    <t>Prvenství</t>
  </si>
  <si>
    <t>Elimination</t>
  </si>
  <si>
    <t>Points Race</t>
  </si>
  <si>
    <t>bodovací okruhy</t>
  </si>
  <si>
    <t>mínus</t>
  </si>
  <si>
    <t>Body - Prvenství</t>
  </si>
  <si>
    <t>Vylučovačka</t>
  </si>
  <si>
    <t>Bodovací z.</t>
  </si>
  <si>
    <t>Rank</t>
  </si>
  <si>
    <t>Race no.</t>
  </si>
  <si>
    <t>Surname and name</t>
  </si>
  <si>
    <t>Team</t>
  </si>
  <si>
    <t>Category</t>
  </si>
  <si>
    <t>celkem</t>
  </si>
  <si>
    <t>pořadí</t>
  </si>
  <si>
    <t>Body</t>
  </si>
  <si>
    <t>plus</t>
  </si>
  <si>
    <t>Bod_z</t>
  </si>
  <si>
    <t>pořadíSC</t>
  </si>
  <si>
    <t>bodySC</t>
  </si>
  <si>
    <t>pořadíPRV</t>
  </si>
  <si>
    <t>BodyPRV</t>
  </si>
  <si>
    <t>PoradíVyl</t>
  </si>
  <si>
    <t>Body_vyl</t>
  </si>
  <si>
    <t>Body_bod</t>
  </si>
  <si>
    <t>Body_prv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</si>
  <si>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</si>
  <si>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</si>
  <si>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</si>
  <si>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</si>
  <si>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</si>
  <si>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</si>
  <si>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</si>
  <si>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</si>
  <si>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</si>
  <si>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</si>
  <si>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</si>
  <si>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</si>
  <si>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Kola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</si>
  <si>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</si>
  <si>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</si>
  <si>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</si>
  <si>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</si>
  <si>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</si>
  <si>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</si>
  <si>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</si>
  <si>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</si>
  <si>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</si>
  <si>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</si>
  <si>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BP11</t>
  </si>
  <si>
    <t>BP12</t>
  </si>
  <si>
    <t>BP13</t>
  </si>
  <si>
    <t>BP14</t>
  </si>
  <si>
    <t>BP15</t>
  </si>
  <si>
    <t>BP16</t>
  </si>
  <si>
    <t>BP17</t>
  </si>
  <si>
    <t>Rank2</t>
  </si>
  <si>
    <t>Race no.3</t>
  </si>
  <si>
    <t>Surname and name5</t>
  </si>
  <si>
    <t>Team6</t>
  </si>
  <si>
    <t>Category7</t>
  </si>
  <si>
    <t>celkem8</t>
  </si>
  <si>
    <t>pořadí9</t>
  </si>
  <si>
    <t>pořadí10</t>
  </si>
  <si>
    <t>body10</t>
  </si>
  <si>
    <t>pořadí11</t>
  </si>
  <si>
    <t>Body12</t>
  </si>
  <si>
    <t>body13</t>
  </si>
  <si>
    <t>počet</t>
  </si>
  <si>
    <t>Počet startujících</t>
  </si>
  <si>
    <t xml:space="preserve">Tabulka - bodů </t>
  </si>
  <si>
    <t>DNF</t>
  </si>
  <si>
    <t>DNS</t>
  </si>
  <si>
    <t>Datum / Date: 19. 4. 2022</t>
  </si>
  <si>
    <t>Pořadí:</t>
  </si>
  <si>
    <t>St. Číslo</t>
  </si>
  <si>
    <t xml:space="preserve">Poslední 2x </t>
  </si>
  <si>
    <t>BP18</t>
  </si>
  <si>
    <t>Sloupec1</t>
  </si>
  <si>
    <t>Páska</t>
  </si>
  <si>
    <t>Páska_bod</t>
  </si>
  <si>
    <t>Páska cíl</t>
  </si>
  <si>
    <t>Bodovacka</t>
  </si>
  <si>
    <t xml:space="preserve">Prvenstvi </t>
  </si>
  <si>
    <t>Jakub</t>
  </si>
  <si>
    <t>Pastva</t>
  </si>
  <si>
    <t>Cyklistická tour</t>
  </si>
  <si>
    <t>Muž</t>
  </si>
  <si>
    <t>Žáci st</t>
  </si>
  <si>
    <t>Mathias</t>
  </si>
  <si>
    <t>Barica</t>
  </si>
  <si>
    <t>Filip</t>
  </si>
  <si>
    <t>Magdolen</t>
  </si>
  <si>
    <t>Matus</t>
  </si>
  <si>
    <t>Goga</t>
  </si>
  <si>
    <t>SWIETELSKY SLOVAKIA CYCLING TEAM</t>
  </si>
  <si>
    <t>Muži</t>
  </si>
  <si>
    <t>Adam</t>
  </si>
  <si>
    <t>Haľak</t>
  </si>
  <si>
    <t>ŠK Železiarne Podbrezová, a.s</t>
  </si>
  <si>
    <t>Junioři</t>
  </si>
  <si>
    <t>Šalko</t>
  </si>
  <si>
    <t>Juraj</t>
  </si>
  <si>
    <t>ŠK Železiarne Podbrezová, a.s.</t>
  </si>
  <si>
    <t>Kadeti</t>
  </si>
  <si>
    <t>Ondrej</t>
  </si>
  <si>
    <t>Hrico</t>
  </si>
  <si>
    <t>ŠK Železiarne Podbrezová,a.s.</t>
  </si>
  <si>
    <t>Samuel</t>
  </si>
  <si>
    <t>Fedor</t>
  </si>
  <si>
    <t>Matej</t>
  </si>
  <si>
    <t>Švarc</t>
  </si>
  <si>
    <t>Husár</t>
  </si>
  <si>
    <t>Flaviol - Bike Team Spiš</t>
  </si>
  <si>
    <t>Maroš</t>
  </si>
  <si>
    <t>Černický</t>
  </si>
  <si>
    <t>CYKLO SPIŠ</t>
  </si>
  <si>
    <t>Tomáš</t>
  </si>
  <si>
    <t>Ištvánik</t>
  </si>
  <si>
    <t>Kolesár</t>
  </si>
  <si>
    <t>Pascal</t>
  </si>
  <si>
    <t>Perháč</t>
  </si>
  <si>
    <t>Denis</t>
  </si>
  <si>
    <t>Sakmár</t>
  </si>
  <si>
    <t>Záci Ml</t>
  </si>
  <si>
    <t>Felix</t>
  </si>
  <si>
    <t>Humeňanský</t>
  </si>
  <si>
    <t>Klaudia</t>
  </si>
  <si>
    <t>Varšová</t>
  </si>
  <si>
    <t>Žena</t>
  </si>
  <si>
    <t>Juniorky</t>
  </si>
  <si>
    <t>Mária</t>
  </si>
  <si>
    <t>Závacká</t>
  </si>
  <si>
    <t>Kadetky</t>
  </si>
  <si>
    <t>Zuzana</t>
  </si>
  <si>
    <t>Lazarová</t>
  </si>
  <si>
    <t>Žačky st</t>
  </si>
  <si>
    <t>Vladimir</t>
  </si>
  <si>
    <t>Švitel</t>
  </si>
  <si>
    <t>ŠKC Dubnica nad Váhom</t>
  </si>
  <si>
    <t>Hlatký</t>
  </si>
  <si>
    <t>Matúš</t>
  </si>
  <si>
    <t>Ďurík</t>
  </si>
  <si>
    <t>MŠK CK Žiar nad Hronom</t>
  </si>
  <si>
    <t>Róbert</t>
  </si>
  <si>
    <t>Jackuliak</t>
  </si>
  <si>
    <t>Záhorec</t>
  </si>
  <si>
    <t>Alex</t>
  </si>
  <si>
    <t>Antal</t>
  </si>
  <si>
    <t>Čerťaský</t>
  </si>
  <si>
    <t>Tereza</t>
  </si>
  <si>
    <t>Ďuríková</t>
  </si>
  <si>
    <t>Matteo</t>
  </si>
  <si>
    <t>La Carbonara</t>
  </si>
  <si>
    <t>TJ Favorit Brno</t>
  </si>
  <si>
    <t>Matyáš</t>
  </si>
  <si>
    <t>Branč</t>
  </si>
  <si>
    <t>Jaroslav</t>
  </si>
  <si>
    <t>Hubáček</t>
  </si>
  <si>
    <t>Matěj</t>
  </si>
  <si>
    <t>Vašina</t>
  </si>
  <si>
    <t>Sklář</t>
  </si>
  <si>
    <t>Oliver</t>
  </si>
  <si>
    <t>Heršovic</t>
  </si>
  <si>
    <t>Jan</t>
  </si>
  <si>
    <t>Telecký</t>
  </si>
  <si>
    <t>Tobiáš</t>
  </si>
  <si>
    <t>Kelbl</t>
  </si>
  <si>
    <t>Daniel</t>
  </si>
  <si>
    <t>Rumplík</t>
  </si>
  <si>
    <t>Horák</t>
  </si>
  <si>
    <t>Marek</t>
  </si>
  <si>
    <t>Barbora</t>
  </si>
  <si>
    <t>Kateřina</t>
  </si>
  <si>
    <t>Láníčková</t>
  </si>
  <si>
    <t>Doleželová</t>
  </si>
  <si>
    <t>Gratzová</t>
  </si>
  <si>
    <t>Ivona</t>
  </si>
  <si>
    <t>PAVLISOVÁ</t>
  </si>
  <si>
    <t>CK EPIC Dohňany</t>
  </si>
  <si>
    <t>Martin</t>
  </si>
  <si>
    <t>HALUŠKA</t>
  </si>
  <si>
    <t>HLUBINA</t>
  </si>
  <si>
    <t>TOMÁŠ</t>
  </si>
  <si>
    <t>Branislav</t>
  </si>
  <si>
    <t>HOŠTÁK</t>
  </si>
  <si>
    <t>KATREŇÁK</t>
  </si>
  <si>
    <t>RIŠKA</t>
  </si>
  <si>
    <t>PŠENKA</t>
  </si>
  <si>
    <t>Lucia</t>
  </si>
  <si>
    <t>HUDOKOVÁ</t>
  </si>
  <si>
    <t>Sarah</t>
  </si>
  <si>
    <t>JEZNÁ</t>
  </si>
  <si>
    <t>Záchenský</t>
  </si>
  <si>
    <t>CyS - Akadémia Petra Sagana</t>
  </si>
  <si>
    <t>Galovič</t>
  </si>
  <si>
    <t>Lukáš</t>
  </si>
  <si>
    <t>Gardian</t>
  </si>
  <si>
    <t>Dávid</t>
  </si>
  <si>
    <t>Hulala</t>
  </si>
  <si>
    <t>Miroslav</t>
  </si>
  <si>
    <t>Družkovský</t>
  </si>
  <si>
    <t>Gróf</t>
  </si>
  <si>
    <t>Stanislava</t>
  </si>
  <si>
    <t>Sikelová</t>
  </si>
  <si>
    <t>Tadeáš</t>
  </si>
  <si>
    <t>Cesnek</t>
  </si>
  <si>
    <t>Hajdúch</t>
  </si>
  <si>
    <t>Turček</t>
  </si>
  <si>
    <t>Hoferica</t>
  </si>
  <si>
    <t>Terézia</t>
  </si>
  <si>
    <t>Ciriaková</t>
  </si>
  <si>
    <t>Alexandra</t>
  </si>
  <si>
    <t>Turčeková</t>
  </si>
  <si>
    <t>Emma</t>
  </si>
  <si>
    <t>Galovičová</t>
  </si>
  <si>
    <t>Laura</t>
  </si>
  <si>
    <t>Jarošová</t>
  </si>
  <si>
    <t>Čengel</t>
  </si>
  <si>
    <t>Cycling academy Bratislava</t>
  </si>
  <si>
    <t>Samák</t>
  </si>
  <si>
    <t>Cycling Academy Bratislava</t>
  </si>
  <si>
    <t>Jerguš</t>
  </si>
  <si>
    <t>Medveď</t>
  </si>
  <si>
    <t>MROCEK</t>
  </si>
  <si>
    <t>Anna</t>
  </si>
  <si>
    <t>RŽONCOVÁ</t>
  </si>
  <si>
    <t>Vysočan</t>
  </si>
  <si>
    <t>Kulha</t>
  </si>
  <si>
    <t>Janíček</t>
  </si>
  <si>
    <t>Viktor</t>
  </si>
  <si>
    <t>Padělek</t>
  </si>
  <si>
    <t>Štěpán</t>
  </si>
  <si>
    <t>Novák</t>
  </si>
  <si>
    <t>Muroň</t>
  </si>
  <si>
    <t>Lávečka</t>
  </si>
  <si>
    <t>CK Olympik Trnava</t>
  </si>
  <si>
    <t>Muži U23</t>
  </si>
  <si>
    <t>Vilém</t>
  </si>
  <si>
    <t>Vostál</t>
  </si>
  <si>
    <t>Gabriel</t>
  </si>
  <si>
    <t>Sobota</t>
  </si>
  <si>
    <t>Milan</t>
  </si>
  <si>
    <t>Mach</t>
  </si>
  <si>
    <t>Michal</t>
  </si>
  <si>
    <t>Mečír</t>
  </si>
  <si>
    <t>Richter</t>
  </si>
  <si>
    <t>Hodulík</t>
  </si>
  <si>
    <t>Chaloupka</t>
  </si>
  <si>
    <t>Ďurko</t>
  </si>
  <si>
    <t>Mokrý</t>
  </si>
  <si>
    <t>Tomčo</t>
  </si>
  <si>
    <t>Elen</t>
  </si>
  <si>
    <t>Nagy</t>
  </si>
  <si>
    <t>Martina</t>
  </si>
  <si>
    <t>Štefanová</t>
  </si>
  <si>
    <t>Šimunek</t>
  </si>
  <si>
    <t>Butaš</t>
  </si>
  <si>
    <t>Boledovič</t>
  </si>
  <si>
    <t>Tóblová</t>
  </si>
  <si>
    <t>Mečírová</t>
  </si>
  <si>
    <t>Katarina</t>
  </si>
  <si>
    <t>Žačky ml</t>
  </si>
  <si>
    <t>Šimon</t>
  </si>
  <si>
    <t>Vaníček</t>
  </si>
  <si>
    <t>Sportcomplex Břeclav</t>
  </si>
  <si>
    <t>Hermanová</t>
  </si>
  <si>
    <t>Adéla</t>
  </si>
  <si>
    <t>Ondřej</t>
  </si>
  <si>
    <t>Michalovič</t>
  </si>
  <si>
    <t>Beáta</t>
  </si>
  <si>
    <t>Sára</t>
  </si>
  <si>
    <t>Hrůzová</t>
  </si>
  <si>
    <t>Třetina</t>
  </si>
  <si>
    <t>Ema</t>
  </si>
  <si>
    <t>Benešová</t>
  </si>
  <si>
    <t>Natálie</t>
  </si>
  <si>
    <t>Němcová</t>
  </si>
  <si>
    <t>Bára</t>
  </si>
  <si>
    <t>Zimová</t>
  </si>
  <si>
    <t>Jmeno</t>
  </si>
  <si>
    <t>Prijmeni</t>
  </si>
  <si>
    <t>TEAM</t>
  </si>
  <si>
    <t>RN</t>
  </si>
  <si>
    <t>POH</t>
  </si>
  <si>
    <t>KAT</t>
  </si>
  <si>
    <t>SOBOTA Gabriel</t>
  </si>
  <si>
    <t>MEČÍR Michal</t>
  </si>
  <si>
    <t xml:space="preserve">Vajbar Jakub </t>
  </si>
  <si>
    <t>Dukla Brno</t>
  </si>
  <si>
    <t>Hytych Matěj</t>
  </si>
  <si>
    <t xml:space="preserve">Ježek David </t>
  </si>
  <si>
    <t>ĎURÍK Matúš</t>
  </si>
  <si>
    <t>JACKULIAK Róbert</t>
  </si>
  <si>
    <t>VANÍČEK Šimon</t>
  </si>
  <si>
    <t>HAĽAK Adam</t>
  </si>
  <si>
    <t>KULHA Filip</t>
  </si>
  <si>
    <t>JANÍČEK Jakub</t>
  </si>
  <si>
    <t>PADĚLEK Viktor</t>
  </si>
  <si>
    <t>NOVÁK Tomáš</t>
  </si>
  <si>
    <t>MUROŇ Matyáš</t>
  </si>
  <si>
    <t>VOSTÁL Vilém</t>
  </si>
  <si>
    <t>MACH Milan</t>
  </si>
  <si>
    <t xml:space="preserve">KOKAS Raphael </t>
  </si>
  <si>
    <t xml:space="preserve">RC Donaustadt  </t>
  </si>
  <si>
    <t>Skupina 5</t>
  </si>
  <si>
    <t>Čekal Josef</t>
  </si>
  <si>
    <t>Muž U23</t>
  </si>
  <si>
    <t>Prv</t>
  </si>
  <si>
    <t>Akadémie Petra Sagana</t>
  </si>
  <si>
    <t>ŠK ŽELEZIARNE PODBREZOVÁ</t>
  </si>
  <si>
    <t>ŠOLTÝS Kristián</t>
  </si>
  <si>
    <t>U19</t>
  </si>
  <si>
    <t>HAJDÚCH Martin</t>
  </si>
  <si>
    <t>VLK Jáchym</t>
  </si>
  <si>
    <t>ŠIROKÝ Štěpán</t>
  </si>
  <si>
    <t>Melite</t>
  </si>
  <si>
    <t>KŘENEK Adam</t>
  </si>
  <si>
    <t>VENC Adam</t>
  </si>
  <si>
    <t>ROTTER Michal</t>
  </si>
  <si>
    <t>ŽÁK Jakub</t>
  </si>
  <si>
    <t>HUŇA Mario</t>
  </si>
  <si>
    <t>Cycling Academy Trenčín</t>
  </si>
  <si>
    <t>Junioři a muži</t>
  </si>
  <si>
    <t>Datum / Date: 8. 8. 2023</t>
  </si>
  <si>
    <t>BODY</t>
  </si>
  <si>
    <t>Points</t>
  </si>
  <si>
    <t>Výsledková listina / Result list - MEDISON</t>
  </si>
  <si>
    <t>POINST</t>
  </si>
  <si>
    <t>Jakub DEDEK</t>
  </si>
  <si>
    <t>TUFO PARDUS Prostějov z.s.</t>
  </si>
  <si>
    <t>ŽM</t>
  </si>
  <si>
    <t>Vojtěch BEČKA</t>
  </si>
  <si>
    <t>TJ STADION LOUNY</t>
  </si>
  <si>
    <t>ŽS</t>
  </si>
  <si>
    <t>Alexandr KANIŠČEV</t>
  </si>
  <si>
    <t>Matěj DEDEK</t>
  </si>
  <si>
    <t>Arnošt DRCMÁNEK</t>
  </si>
  <si>
    <t>Lukáš LAKOMÝ</t>
  </si>
  <si>
    <t>Jakub SKLÁŘ</t>
  </si>
  <si>
    <t>TJ FAVORIT BRNO</t>
  </si>
  <si>
    <t>Tobiáš KELBL</t>
  </si>
  <si>
    <t>Daniel RUMPLÍK</t>
  </si>
  <si>
    <t>Matej RIŠKA</t>
  </si>
  <si>
    <t>CK Epic Dohňany</t>
  </si>
  <si>
    <t>Marek PŠENKA</t>
  </si>
  <si>
    <t>Matúš BEHAN</t>
  </si>
  <si>
    <t>Miroslav DRUŽKOVSKÝ</t>
  </si>
  <si>
    <t>CyS Akadémia Petera Sagana</t>
  </si>
  <si>
    <t>Matej FIRÁK</t>
  </si>
  <si>
    <t>Štefan ŠIDELSKÝ</t>
  </si>
  <si>
    <t>Matej GALOVIČ</t>
  </si>
  <si>
    <t>Matúš NAGY</t>
  </si>
  <si>
    <t>Oliver SAMUEL</t>
  </si>
  <si>
    <t>Fred STEINDL</t>
  </si>
  <si>
    <t>RLM Wien</t>
  </si>
  <si>
    <t>Ž</t>
  </si>
  <si>
    <t>Šimon Prágr</t>
  </si>
  <si>
    <t>Dakom Pharma Kyjov</t>
  </si>
  <si>
    <t>Šimon Dvořák</t>
  </si>
  <si>
    <t>Wiro GRILL</t>
  </si>
  <si>
    <t>Romeo HASCHKA</t>
  </si>
  <si>
    <t>Marc HIERSCHLAGER</t>
  </si>
  <si>
    <t>RC Arbo Auto Eder Walding</t>
  </si>
  <si>
    <t>Matheo ZAMBELLI</t>
  </si>
  <si>
    <t>RC Felbermayr Wels</t>
  </si>
  <si>
    <t>Matyáš KREJČIŘÍK</t>
  </si>
  <si>
    <t>Místo:Brno</t>
  </si>
  <si>
    <t>Žáci - Bodovací závod</t>
  </si>
  <si>
    <t>Žáci - Vylučovací závod</t>
  </si>
  <si>
    <t xml:space="preserve"> JMÉNO A PŘÍJMENÍ</t>
  </si>
  <si>
    <t>Name and surname</t>
  </si>
  <si>
    <t>Semih SCHRENK</t>
  </si>
  <si>
    <t>Wien</t>
  </si>
  <si>
    <t>Dacom Pharma Kyjov</t>
  </si>
  <si>
    <t>Čas:</t>
  </si>
  <si>
    <t>Počet okruhů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</si>
</sst>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h:mm"/>
  </numFmts>
  <fonts count="32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charset val="1"/>
    </font>
    <font>
      <b/>
      <sz val="16"/>
      <color rgb="FF333333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6"/>
      <color rgb="FF969696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sz val="12"/>
      <name val="Calibri"/>
      <family val="2"/>
      <charset val="1"/>
    </font>
    <font>
      <b/>
      <sz val="6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8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hair">
        <color auto="1"/>
      </bottom>
      <diagonal/>
    </border>
  </borders>
  <cellStyleXfs count="26">
    <xf numFmtId="0" fontId="0" fillId="0" borderId="0"/>
    <xf numFmtId="0" fontId="1" fillId="0" borderId="0" applyProtection="0"/>
    <xf numFmtId="0" fontId="1" fillId="0" borderId="0" applyProtection="0"/>
    <xf numFmtId="0" fontId="1" fillId="0" borderId="0"/>
    <xf numFmtId="0" fontId="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3" fillId="0" borderId="0"/>
    <xf numFmtId="0" fontId="3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4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/>
    </xf>
    <xf numFmtId="1" fontId="13" fillId="0" borderId="7" xfId="0" applyNumberFormat="1" applyFont="1" applyBorder="1" applyAlignment="1">
      <alignment horizontal="center"/>
    </xf>
    <xf numFmtId="1" fontId="14" fillId="0" borderId="7" xfId="0" applyNumberFormat="1" applyFont="1" applyBorder="1" applyAlignment="1">
      <alignment horizontal="left"/>
    </xf>
    <xf numFmtId="1" fontId="13" fillId="0" borderId="7" xfId="0" applyNumberFormat="1" applyFont="1" applyBorder="1"/>
    <xf numFmtId="0" fontId="13" fillId="0" borderId="7" xfId="0" applyFont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16" fillId="2" borderId="0" xfId="0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0" fontId="9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7" fillId="2" borderId="6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0" fillId="0" borderId="0" xfId="0" applyNumberFormat="1"/>
    <xf numFmtId="0" fontId="0" fillId="5" borderId="0" xfId="0" applyFill="1"/>
    <xf numFmtId="0" fontId="20" fillId="5" borderId="0" xfId="0" applyFont="1" applyFill="1"/>
    <xf numFmtId="0" fontId="6" fillId="5" borderId="0" xfId="0" applyFont="1" applyFill="1"/>
    <xf numFmtId="1" fontId="16" fillId="0" borderId="0" xfId="0" applyNumberFormat="1" applyFont="1"/>
    <xf numFmtId="0" fontId="6" fillId="5" borderId="0" xfId="0" applyFont="1" applyFill="1" applyAlignment="1">
      <alignment horizontal="center"/>
    </xf>
    <xf numFmtId="1" fontId="12" fillId="0" borderId="0" xfId="0" applyNumberFormat="1" applyFont="1"/>
    <xf numFmtId="0" fontId="17" fillId="3" borderId="0" xfId="0" applyFont="1" applyFill="1" applyAlignment="1">
      <alignment horizontal="center" vertical="center"/>
    </xf>
    <xf numFmtId="1" fontId="21" fillId="0" borderId="7" xfId="0" applyNumberFormat="1" applyFont="1" applyBorder="1" applyAlignment="1">
      <alignment horizontal="center"/>
    </xf>
    <xf numFmtId="1" fontId="6" fillId="0" borderId="0" xfId="0" applyNumberFormat="1" applyFont="1"/>
    <xf numFmtId="0" fontId="0" fillId="6" borderId="3" xfId="0" applyFill="1" applyBorder="1"/>
    <xf numFmtId="0" fontId="22" fillId="2" borderId="3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11" xfId="0" applyFill="1" applyBorder="1"/>
    <xf numFmtId="0" fontId="6" fillId="9" borderId="3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22" fontId="0" fillId="0" borderId="0" xfId="0" applyNumberFormat="1"/>
    <xf numFmtId="0" fontId="0" fillId="0" borderId="3" xfId="0" applyBorder="1"/>
    <xf numFmtId="0" fontId="9" fillId="0" borderId="3" xfId="0" applyFont="1" applyBorder="1" applyAlignment="1">
      <alignment vertical="center"/>
    </xf>
    <xf numFmtId="0" fontId="24" fillId="0" borderId="12" xfId="0" applyFont="1" applyBorder="1"/>
    <xf numFmtId="0" fontId="24" fillId="0" borderId="13" xfId="0" applyFont="1" applyBorder="1"/>
    <xf numFmtId="0" fontId="17" fillId="2" borderId="14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164" fontId="17" fillId="2" borderId="15" xfId="0" applyNumberFormat="1" applyFont="1" applyFill="1" applyBorder="1" applyAlignment="1">
      <alignment horizontal="center" vertical="center"/>
    </xf>
    <xf numFmtId="0" fontId="30" fillId="11" borderId="15" xfId="0" applyFont="1" applyFill="1" applyBorder="1" applyAlignment="1">
      <alignment horizontal="center"/>
    </xf>
    <xf numFmtId="0" fontId="26" fillId="11" borderId="15" xfId="0" applyFont="1" applyFill="1" applyBorder="1"/>
    <xf numFmtId="0" fontId="27" fillId="5" borderId="15" xfId="0" applyFont="1" applyFill="1" applyBorder="1"/>
    <xf numFmtId="0" fontId="27" fillId="5" borderId="16" xfId="0" applyFont="1" applyFill="1" applyBorder="1"/>
    <xf numFmtId="1" fontId="13" fillId="0" borderId="18" xfId="0" applyNumberFormat="1" applyFont="1" applyBorder="1" applyAlignment="1">
      <alignment horizontal="center"/>
    </xf>
    <xf numFmtId="1" fontId="14" fillId="0" borderId="18" xfId="0" applyNumberFormat="1" applyFont="1" applyBorder="1" applyAlignment="1">
      <alignment horizontal="left"/>
    </xf>
    <xf numFmtId="1" fontId="13" fillId="0" borderId="18" xfId="0" applyNumberFormat="1" applyFont="1" applyBorder="1"/>
    <xf numFmtId="0" fontId="13" fillId="0" borderId="18" xfId="0" applyFont="1" applyBorder="1" applyAlignment="1">
      <alignment horizontal="center"/>
    </xf>
    <xf numFmtId="0" fontId="24" fillId="8" borderId="19" xfId="0" applyFont="1" applyFill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9" xfId="0" applyFont="1" applyBorder="1"/>
    <xf numFmtId="0" fontId="31" fillId="0" borderId="19" xfId="0" applyFont="1" applyBorder="1" applyAlignment="1">
      <alignment vertical="center"/>
    </xf>
    <xf numFmtId="0" fontId="24" fillId="0" borderId="20" xfId="0" applyFont="1" applyBorder="1"/>
    <xf numFmtId="0" fontId="25" fillId="5" borderId="15" xfId="0" applyFont="1" applyFill="1" applyBorder="1" applyAlignment="1">
      <alignment horizontal="center"/>
    </xf>
    <xf numFmtId="1" fontId="24" fillId="0" borderId="15" xfId="0" applyNumberFormat="1" applyFont="1" applyBorder="1"/>
    <xf numFmtId="1" fontId="28" fillId="0" borderId="15" xfId="0" applyNumberFormat="1" applyFont="1" applyBorder="1"/>
    <xf numFmtId="1" fontId="29" fillId="0" borderId="15" xfId="0" applyNumberFormat="1" applyFont="1" applyBorder="1"/>
    <xf numFmtId="0" fontId="24" fillId="0" borderId="16" xfId="0" applyFont="1" applyBorder="1"/>
    <xf numFmtId="0" fontId="24" fillId="0" borderId="1" xfId="0" applyFont="1" applyBorder="1"/>
    <xf numFmtId="0" fontId="24" fillId="0" borderId="15" xfId="0" applyFont="1" applyBorder="1"/>
    <xf numFmtId="0" fontId="31" fillId="0" borderId="15" xfId="0" applyFont="1" applyBorder="1" applyAlignment="1">
      <alignment vertical="center"/>
    </xf>
    <xf numFmtId="0" fontId="24" fillId="0" borderId="15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4" fillId="8" borderId="9" xfId="0" applyFont="1" applyFill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21" xfId="0" applyFont="1" applyBorder="1"/>
    <xf numFmtId="0" fontId="25" fillId="5" borderId="12" xfId="0" applyFont="1" applyFill="1" applyBorder="1" applyAlignment="1">
      <alignment horizontal="center"/>
    </xf>
    <xf numFmtId="1" fontId="24" fillId="0" borderId="12" xfId="0" applyNumberFormat="1" applyFont="1" applyBorder="1"/>
    <xf numFmtId="1" fontId="28" fillId="0" borderId="12" xfId="0" applyNumberFormat="1" applyFont="1" applyBorder="1"/>
    <xf numFmtId="1" fontId="29" fillId="0" borderId="12" xfId="0" applyNumberFormat="1" applyFont="1" applyBorder="1"/>
    <xf numFmtId="0" fontId="9" fillId="2" borderId="11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5" fillId="0" borderId="0" xfId="25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4" borderId="2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1" fontId="21" fillId="0" borderId="18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20" fontId="0" fillId="0" borderId="0" xfId="0" applyNumberFormat="1" applyAlignment="1">
      <alignment horizontal="left"/>
    </xf>
    <xf numFmtId="1" fontId="0" fillId="0" borderId="0" xfId="0" applyNumberFormat="1" applyAlignment="1"/>
  </cellXfs>
  <cellStyles count="26">
    <cellStyle name="Normální" xfId="0" builtinId="0"/>
    <cellStyle name="normální 10" xfId="1" xr:uid="{00000000-0005-0000-0000-000006000000}"/>
    <cellStyle name="normální 10 2" xfId="2" xr:uid="{00000000-0005-0000-0000-000007000000}"/>
    <cellStyle name="normální 11" xfId="3" xr:uid="{00000000-0005-0000-0000-000008000000}"/>
    <cellStyle name="normální 11 2" xfId="4" xr:uid="{00000000-0005-0000-0000-000009000000}"/>
    <cellStyle name="normální 12" xfId="5" xr:uid="{00000000-0005-0000-0000-00000A000000}"/>
    <cellStyle name="normální 12 2" xfId="6" xr:uid="{00000000-0005-0000-0000-00000B000000}"/>
    <cellStyle name="normální 13" xfId="7" xr:uid="{00000000-0005-0000-0000-00000C000000}"/>
    <cellStyle name="normální 14" xfId="8" xr:uid="{00000000-0005-0000-0000-00000D000000}"/>
    <cellStyle name="Normální 15" xfId="9" xr:uid="{00000000-0005-0000-0000-00000E000000}"/>
    <cellStyle name="Normální 2" xfId="10" xr:uid="{00000000-0005-0000-0000-00000F000000}"/>
    <cellStyle name="normální 3" xfId="11" xr:uid="{00000000-0005-0000-0000-000010000000}"/>
    <cellStyle name="normální 3 2" xfId="12" xr:uid="{00000000-0005-0000-0000-000011000000}"/>
    <cellStyle name="normální 4" xfId="13" xr:uid="{00000000-0005-0000-0000-000012000000}"/>
    <cellStyle name="normální 4 2" xfId="14" xr:uid="{00000000-0005-0000-0000-000013000000}"/>
    <cellStyle name="normální 5" xfId="15" xr:uid="{00000000-0005-0000-0000-000014000000}"/>
    <cellStyle name="normální 5 2" xfId="16" xr:uid="{00000000-0005-0000-0000-000015000000}"/>
    <cellStyle name="normální 6" xfId="17" xr:uid="{00000000-0005-0000-0000-000016000000}"/>
    <cellStyle name="normální 6 2" xfId="18" xr:uid="{00000000-0005-0000-0000-000017000000}"/>
    <cellStyle name="normální 7" xfId="19" xr:uid="{00000000-0005-0000-0000-000018000000}"/>
    <cellStyle name="normální 7 2" xfId="20" xr:uid="{00000000-0005-0000-0000-000019000000}"/>
    <cellStyle name="normální 8" xfId="21" xr:uid="{00000000-0005-0000-0000-00001A000000}"/>
    <cellStyle name="normální 8 2" xfId="22" xr:uid="{00000000-0005-0000-0000-00001B000000}"/>
    <cellStyle name="normální 9" xfId="23" xr:uid="{00000000-0005-0000-0000-00001C000000}"/>
    <cellStyle name="normální 9 2" xfId="24" xr:uid="{00000000-0005-0000-0000-00001D000000}"/>
    <cellStyle name="normální_plzen 23" xfId="25" xr:uid="{00000000-0005-0000-0000-00001E000000}"/>
  </cellStyles>
  <dxfs count="143"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41412</xdr:colOff>
      <xdr:row>0</xdr:row>
      <xdr:rowOff>91110</xdr:rowOff>
    </xdr:from>
    <xdr:to>
      <xdr:col>46</xdr:col>
      <xdr:colOff>687455</xdr:colOff>
      <xdr:row>1</xdr:row>
      <xdr:rowOff>27260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2CD95FB-C447-4954-AEE0-4A4798A54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1564" y="91110"/>
          <a:ext cx="5019261" cy="1476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273326</xdr:colOff>
      <xdr:row>0</xdr:row>
      <xdr:rowOff>0</xdr:rowOff>
    </xdr:from>
    <xdr:to>
      <xdr:col>49</xdr:col>
      <xdr:colOff>463780</xdr:colOff>
      <xdr:row>0</xdr:row>
      <xdr:rowOff>1598543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0B5102F-EE3A-B795-835C-29A1E61D9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89456" y="0"/>
          <a:ext cx="5433346" cy="15985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171449</xdr:colOff>
      <xdr:row>0</xdr:row>
      <xdr:rowOff>104775</xdr:rowOff>
    </xdr:from>
    <xdr:to>
      <xdr:col>55</xdr:col>
      <xdr:colOff>198833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9461429-6FB8-4D7B-8386-676DC60D5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74424" y="104775"/>
          <a:ext cx="2684859" cy="781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389283</xdr:colOff>
      <xdr:row>0</xdr:row>
      <xdr:rowOff>0</xdr:rowOff>
    </xdr:from>
    <xdr:to>
      <xdr:col>56</xdr:col>
      <xdr:colOff>530042</xdr:colOff>
      <xdr:row>8</xdr:row>
      <xdr:rowOff>190500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AAFDE0E-CF72-4E21-AE86-A1C4327BB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06308" y="0"/>
          <a:ext cx="5455709" cy="1600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881E04-6E2F-43FD-90E2-D04A05E3605A}" name="Tabulka135" displayName="Tabulka135" ref="A11:AX39" totalsRowShown="0">
  <autoFilter ref="A11:AX39" xr:uid="{288B4BFF-FA02-46AB-A3D7-6AC106E78207}"/>
  <sortState xmlns:xlrd2="http://schemas.microsoft.com/office/spreadsheetml/2017/richdata2" ref="A12:AX39">
    <sortCondition ref="G11:G39"/>
  </sortState>
  <tableColumns count="50">
    <tableColumn id="1" xr3:uid="{7FEB1472-FF86-4740-B509-ECBAF8A7CFE4}" name="Rank" dataDxfId="142">
      <calculatedColumnFormula>RANK(Tabulka135[[#This Row],[Body_bod]],Tabulka135[Body_bod],0)</calculatedColumnFormula>
    </tableColumn>
    <tableColumn id="2" xr3:uid="{7894791E-639D-4B31-885A-DABB81404B2A}" name="Race no." dataDxfId="141"/>
    <tableColumn id="3" xr3:uid="{0E8ED0F4-B351-4EE4-8DB8-1AB7E0E37486}" name="UCI ID" dataDxfId="140"/>
    <tableColumn id="4" xr3:uid="{3DEAB4A0-28FE-4116-9443-0C8A087A07DF}" name="Surname and name" dataDxfId="139"/>
    <tableColumn id="5" xr3:uid="{D6B8F5E6-72C1-494B-9951-8A8FC3530815}" name="Team" dataDxfId="138"/>
    <tableColumn id="7" xr3:uid="{CAF6D9D5-3283-4880-96C1-BC8D25FBB543}" name="Category" dataDxfId="137"/>
    <tableColumn id="13" xr3:uid="{366FE672-F9EF-4991-AE15-C3027A7AA34D}" name="PoradíVyl" dataDxfId="136">
      <calculatedColumnFormula>IFERROR(VLOOKUP(Tabulka135[[#This Row],[Race no.]],Vylučovačka!D:E,2,FALSE),"x")</calculatedColumnFormula>
    </tableColumn>
    <tableColumn id="14" xr3:uid="{897130CE-ADAB-478F-9DFB-E5D07085B917}" name="Body_vyl" dataDxfId="135">
      <calculatedColumnFormula>IFERROR(VLOOKUP(G12,List1!B:C,2,FALSE),0)</calculatedColumnFormula>
    </tableColumn>
    <tableColumn id="15" xr3:uid="{3EB6E240-50F3-4286-A250-4B23F66C8690}" name="Body_bod" dataDxfId="134">
      <calculatedColumnFormula>SUM(L12:X12)</calculatedColumnFormula>
    </tableColumn>
    <tableColumn id="59" xr3:uid="{BFCFAC11-4C10-4394-ACA8-F75284F2E344}" name="Páska_bod" dataDxfId="133">
      <calculatedColumnFormula>IFERROR(VLOOKUP(Tabulka135[[#This Row],[Race no.]],Bodovacka!D:E,2,FALSE),"x")</calculatedColumnFormula>
    </tableColumn>
    <tableColumn id="46" xr3:uid="{86ABF4DD-EEAD-4ED3-B9EA-9B5FEF456011}" name="Body_prv" dataDxfId="132">
      <calculatedColumnFormula>SUM(Y12:AO12)</calculatedColumnFormula>
    </tableColumn>
    <tableColumn id="16" xr3:uid="{FD597BDF-2B9D-4106-82FE-65F0BD3DA0F0}" name="B1" dataDxfId="131">
      <calculatedColumnFormula>IFERROR(VLOOKUP($B12,$L$2:$X$5,13,FALSE),"")</calculatedColumnFormula>
    </tableColumn>
    <tableColumn id="17" xr3:uid="{2513C5F5-412B-4C7D-B198-398CB92FEF9A}" name="B2" dataDxfId="130">
      <calculatedColumnFormula>IFERROR(VLOOKUP($B12,$M$2:$X$5,12,FALSE),"")</calculatedColumnFormula>
    </tableColumn>
    <tableColumn id="18" xr3:uid="{338B2C27-58F5-4595-8367-CA03456A101E}" name="B3" dataDxfId="129">
      <calculatedColumnFormula>IFERROR(VLOOKUP($B12,$N$2:$X$5,11,FALSE),"")</calculatedColumnFormula>
    </tableColumn>
    <tableColumn id="19" xr3:uid="{A012DD9E-BD10-4922-B1EA-5746A95759E6}" name="B4" dataDxfId="128">
      <calculatedColumnFormula>IFERROR(VLOOKUP($B12,$O$2:$X$5,10,FALSE),"")</calculatedColumnFormula>
    </tableColumn>
    <tableColumn id="20" xr3:uid="{90CC721F-7F34-4215-8947-93CEAC0563AC}" name="B5" dataDxfId="127">
      <calculatedColumnFormula>IFERROR(VLOOKUP($B12,$P$2:$X$5,9,FALSE),"")</calculatedColumnFormula>
    </tableColumn>
    <tableColumn id="21" xr3:uid="{DC1CD11A-EB03-45F5-BE9B-4CB35760C452}" name="B6" dataDxfId="126">
      <calculatedColumnFormula>IFERROR(VLOOKUP($B12,$Q$2:$X$5,8,FALSE),"")</calculatedColumnFormula>
    </tableColumn>
    <tableColumn id="22" xr3:uid="{7C130638-3F2A-4B62-B5D4-F13164FB43D2}" name="B7" dataDxfId="125">
      <calculatedColumnFormula>IFERROR(VLOOKUP($B12,$R$2:$X$5,7,FALSE),"")</calculatedColumnFormula>
    </tableColumn>
    <tableColumn id="23" xr3:uid="{BF93E640-0B60-45EE-860E-635BEC191A5A}" name="B8" dataDxfId="124">
      <calculatedColumnFormula>IFERROR(VLOOKUP($B12,$S$2:$X$5,7,FALSE),"")</calculatedColumnFormula>
    </tableColumn>
    <tableColumn id="24" xr3:uid="{C03D2C04-39EF-4D3B-A377-C6479831A191}" name="B9" dataDxfId="123">
      <calculatedColumnFormula>IFERROR(VLOOKUP($B12,$R$2:$X$5,7,FALSE),"")</calculatedColumnFormula>
    </tableColumn>
    <tableColumn id="25" xr3:uid="{1B41C0D6-D10B-472C-A331-D2CC4B833BF9}" name="B10" dataDxfId="122">
      <calculatedColumnFormula>IFERROR(VLOOKUP($B12,$R$2:$X$5,7,FALSE),"")</calculatedColumnFormula>
    </tableColumn>
    <tableColumn id="26" xr3:uid="{91F20BE5-712B-4780-8322-7874E1B76A73}" name="B11" dataDxfId="121">
      <calculatedColumnFormula>IFERROR(VLOOKUP($B12,$R$2:$X$5,7,FALSE),"")</calculatedColumnFormula>
    </tableColumn>
    <tableColumn id="27" xr3:uid="{008FE25F-4021-474F-BD59-17F36A520BB7}" name="B12" dataDxfId="120">
      <calculatedColumnFormula>IFERROR(VLOOKUP($B12,$W$2:$X$5,2,FALSE)*2,"")</calculatedColumnFormula>
    </tableColumn>
    <tableColumn id="28" xr3:uid="{178F5D93-62D4-40CA-BA95-2EF7E3FBEA32}" name="Kola" dataDxfId="119"/>
    <tableColumn id="29" xr3:uid="{05DC9A2C-AEA2-4891-92B3-B6DA58696E38}" name="BP1" dataDxfId="118">
      <calculatedColumnFormula>IFERROR(VLOOKUP($B12,$Y$4:$AP$5,18,FALSE),"")</calculatedColumnFormula>
    </tableColumn>
    <tableColumn id="30" xr3:uid="{D3719244-9815-49E3-9F32-1D8770714210}" name="BP2" dataDxfId="117">
      <calculatedColumnFormula>IFERROR(VLOOKUP($B12,$Z$4:$AP$5,17,FALSE),"")</calculatedColumnFormula>
    </tableColumn>
    <tableColumn id="31" xr3:uid="{123412AB-5E9C-4FB1-87F3-50CD52FB72A0}" name="BP3" dataDxfId="116">
      <calculatedColumnFormula>IFERROR(VLOOKUP($B12,$AA$4:$AP$5,16,FALSE),"")</calculatedColumnFormula>
    </tableColumn>
    <tableColumn id="32" xr3:uid="{8A9BC3EE-C9AA-44C1-98BE-8A34383F70C4}" name="BP4" dataDxfId="115">
      <calculatedColumnFormula>IFERROR(VLOOKUP($B12,$AB$4:$AP$5,15,FALSE),"")</calculatedColumnFormula>
    </tableColumn>
    <tableColumn id="33" xr3:uid="{69C9AE01-0F1D-46A2-BB84-10F47ED5BBB6}" name="BP5" dataDxfId="114">
      <calculatedColumnFormula>IFERROR(VLOOKUP($B12,$AC$4:$AP$5,14,FALSE),"")</calculatedColumnFormula>
    </tableColumn>
    <tableColumn id="34" xr3:uid="{5A842E4E-268A-4957-BB8A-B3FA24ECBC25}" name="BP6" dataDxfId="113">
      <calculatedColumnFormula>IFERROR(VLOOKUP($B12,$AD$4:$AP$5,13,FALSE),"")</calculatedColumnFormula>
    </tableColumn>
    <tableColumn id="35" xr3:uid="{2D1DD3BB-7C07-4CB5-8CEB-CFD78A0A655A}" name="BP7" dataDxfId="112">
      <calculatedColumnFormula>IFERROR(VLOOKUP($B12,$AE$4:$AP$5,12,FALSE),"")</calculatedColumnFormula>
    </tableColumn>
    <tableColumn id="36" xr3:uid="{9ADCB0D5-F41F-4B22-887D-86BB8D9A3407}" name="BP8" dataDxfId="111">
      <calculatedColumnFormula>IFERROR(VLOOKUP($B12,$AF$4:$AP$5,11,FALSE),"")</calculatedColumnFormula>
    </tableColumn>
    <tableColumn id="37" xr3:uid="{BE37771C-3C48-42F4-9CAE-235485F1AB2D}" name="BP9" dataDxfId="110">
      <calculatedColumnFormula>IFERROR(VLOOKUP($B12,$AG$4:$AP$5,10,FALSE),"")</calculatedColumnFormula>
    </tableColumn>
    <tableColumn id="38" xr3:uid="{3819C4A9-57A6-483B-858F-933C7209A495}" name="BP10" dataDxfId="109">
      <calculatedColumnFormula>IFERROR(VLOOKUP($B12,$AH$4:$AP$5,9,FALSE),"")</calculatedColumnFormula>
    </tableColumn>
    <tableColumn id="39" xr3:uid="{5045D7B9-72E2-4DCD-A232-5973EBA100D7}" name="BP11" dataDxfId="108">
      <calculatedColumnFormula>IFERROR(VLOOKUP($B12,$AI$4:$AP$5,8,FALSE),"")</calculatedColumnFormula>
    </tableColumn>
    <tableColumn id="40" xr3:uid="{60FF403C-282D-46BF-9FED-98479B057FC0}" name="BP12" dataDxfId="107">
      <calculatedColumnFormula>IFERROR(VLOOKUP($B12,$AJ$4:$AP$5,7,FALSE),"")</calculatedColumnFormula>
    </tableColumn>
    <tableColumn id="41" xr3:uid="{A198B8DB-C049-4060-85AB-094759B52EA6}" name="BP13" dataDxfId="106">
      <calculatedColumnFormula>IFERROR(VLOOKUP($B12,$AK$4:$AP$5,6,FALSE),"")</calculatedColumnFormula>
    </tableColumn>
    <tableColumn id="42" xr3:uid="{2412DD4F-61B1-4EEA-8DEF-342C1C96E67F}" name="BP14" dataDxfId="105">
      <calculatedColumnFormula>IFERROR(VLOOKUP($B12,$AL$4:$AP$5,5,FALSE),"")</calculatedColumnFormula>
    </tableColumn>
    <tableColumn id="43" xr3:uid="{D5451A53-4284-468B-98B0-F76B5F41CF40}" name="BP15" dataDxfId="104">
      <calculatedColumnFormula>IFERROR(VLOOKUP($B12,$AM$4:$AP$5,4,FALSE),"")</calculatedColumnFormula>
    </tableColumn>
    <tableColumn id="44" xr3:uid="{33831765-AA65-42BE-819C-643F7AE2C99F}" name="BP16" dataDxfId="103">
      <calculatedColumnFormula>IFERROR(VLOOKUP($B12,$AN$4:$AP$5,3,FALSE),"")</calculatedColumnFormula>
    </tableColumn>
    <tableColumn id="45" xr3:uid="{292884C8-9A91-483B-B690-E43919FB4F15}" name="BP17" dataDxfId="102">
      <calculatedColumnFormula>IFERROR(VLOOKUP($B12,$AN$4:$AP$5,3,FALSE),"")</calculatedColumnFormula>
    </tableColumn>
    <tableColumn id="48" xr3:uid="{8B98C644-C75F-4138-B0C3-F215EDDAB532}" name="BP18"/>
    <tableColumn id="6" xr3:uid="{46140EBE-70C1-4456-9613-7167C5AB5049}" name="Rank2" dataDxfId="101">
      <calculatedColumnFormula>Tabulka135[[#This Row],[Rank]]</calculatedColumnFormula>
    </tableColumn>
    <tableColumn id="47" xr3:uid="{0B8BD840-2594-4800-A933-08C2AACCE131}" name="Race no.3" dataDxfId="100">
      <calculatedColumnFormula>Tabulka135[[#This Row],[Race no.]]</calculatedColumnFormula>
    </tableColumn>
    <tableColumn id="49" xr3:uid="{5F3F6E6A-6B26-45C5-8EDD-8C4FBD16B007}" name="Surname and name5">
      <calculatedColumnFormula>Tabulka135[[#This Row],[Surname and name]]</calculatedColumnFormula>
    </tableColumn>
    <tableColumn id="50" xr3:uid="{27BE45AD-3C00-4BCD-886A-FC385D7D370B}" name="Team6">
      <calculatedColumnFormula>Tabulka135[[#This Row],[Team]]</calculatedColumnFormula>
    </tableColumn>
    <tableColumn id="51" xr3:uid="{BF1BCC28-F287-4B59-BE3C-E1EB545BEAB2}" name="Category7" dataDxfId="99">
      <calculatedColumnFormula>Tabulka135[[#This Row],[UCI ID]]</calculatedColumnFormula>
    </tableColumn>
    <tableColumn id="53" xr3:uid="{233100FD-4A99-4CA6-84E4-C52152C498EC}" name="pořadí">
      <calculatedColumnFormula>#REF!</calculatedColumnFormula>
    </tableColumn>
    <tableColumn id="54" xr3:uid="{51D1E10A-382D-4469-AE42-E4C36F933B21}" name="body">
      <calculatedColumnFormula>#REF!</calculatedColumnFormula>
    </tableColumn>
    <tableColumn id="60" xr3:uid="{60E5FC20-7459-43C8-8E33-D0E1748E5CD4}" name="body13" dataDxfId="98">
      <calculatedColumnFormula>Tabulka135[[#This Row],[Body_bod]]</calculatedColumnFormula>
    </tableColumn>
  </tableColumns>
  <tableStyleInfo name="TableStyleMedium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5EC3B3-7355-4C35-B2D2-E53B1A0DDB99}" name="Tabulka13" displayName="Tabulka13" ref="A11:AX39" totalsRowShown="0">
  <autoFilter ref="A11:AX39" xr:uid="{288B4BFF-FA02-46AB-A3D7-6AC106E78207}"/>
  <sortState xmlns:xlrd2="http://schemas.microsoft.com/office/spreadsheetml/2017/richdata2" ref="A12:AX39">
    <sortCondition ref="AQ11:AQ39"/>
  </sortState>
  <tableColumns count="50">
    <tableColumn id="1" xr3:uid="{33F6F305-D198-4A0C-BAC9-485A1950682C}" name="Rank" dataDxfId="97">
      <calculatedColumnFormula>RANK(Tabulka13[[#This Row],[Body_bod]],Tabulka13[Body_bod],0)</calculatedColumnFormula>
    </tableColumn>
    <tableColumn id="2" xr3:uid="{A92A3765-A8D0-46E0-96E7-8EB33084F034}" name="Race no." dataDxfId="96"/>
    <tableColumn id="3" xr3:uid="{328DA343-EF57-401C-96EE-4E2F58EA7B94}" name="UCI ID" dataDxfId="95"/>
    <tableColumn id="4" xr3:uid="{03B76242-D171-4FA0-BBD8-2C42961017D9}" name="Surname and name" dataDxfId="94"/>
    <tableColumn id="5" xr3:uid="{2B9E1A01-CE95-4594-8CD4-944521B5C952}" name="Team" dataDxfId="93"/>
    <tableColumn id="7" xr3:uid="{29E72C7C-9C9C-43EA-B531-9E72EAE04FD0}" name="Category" dataDxfId="92"/>
    <tableColumn id="13" xr3:uid="{B0FA58F9-8A91-4264-8A36-2861522ED7BC}" name="PoradíVyl" dataDxfId="91">
      <calculatedColumnFormula>IFERROR(VLOOKUP(Tabulka13[[#This Row],[Race no.]],Vylučovačka!D:E,2,FALSE),"x")</calculatedColumnFormula>
    </tableColumn>
    <tableColumn id="14" xr3:uid="{BBFB4214-FB8E-4368-B116-FF736E4DDF74}" name="Body_vyl" dataDxfId="90">
      <calculatedColumnFormula>IFERROR(VLOOKUP(G12,List1!B:C,2,FALSE),0)</calculatedColumnFormula>
    </tableColumn>
    <tableColumn id="15" xr3:uid="{0C0080DF-8885-4C63-9C7F-A786B7F0305A}" name="Body_bod" dataDxfId="89">
      <calculatedColumnFormula>SUM(L12:X12)</calculatedColumnFormula>
    </tableColumn>
    <tableColumn id="59" xr3:uid="{2286D424-B659-4AFD-93B1-8D186AE6C542}" name="Páska_bod" dataDxfId="88">
      <calculatedColumnFormula>IFERROR(VLOOKUP(Tabulka13[[#This Row],[Race no.]],Bodovacka!D:E,2,FALSE),"x")</calculatedColumnFormula>
    </tableColumn>
    <tableColumn id="46" xr3:uid="{7124ECFE-2C34-4A6E-94DE-519F46A7AF52}" name="Body_prv" dataDxfId="87">
      <calculatedColumnFormula>SUM(Y12:AO12)</calculatedColumnFormula>
    </tableColumn>
    <tableColumn id="16" xr3:uid="{45A648F1-A1F4-47FF-9342-D1C414818039}" name="B1" dataDxfId="86">
      <calculatedColumnFormula>IFERROR(VLOOKUP($B12,$L$2:$X$5,13,FALSE),"")</calculatedColumnFormula>
    </tableColumn>
    <tableColumn id="17" xr3:uid="{A08C0A0F-3CCC-410B-BD28-8CBEC60825DA}" name="B2" dataDxfId="85">
      <calculatedColumnFormula>IFERROR(VLOOKUP($B12,$M$2:$X$5,12,FALSE),"")</calculatedColumnFormula>
    </tableColumn>
    <tableColumn id="18" xr3:uid="{F114816A-908F-4F9B-A0C5-F93AAE95BE15}" name="B3" dataDxfId="84">
      <calculatedColumnFormula>IFERROR(VLOOKUP($B12,$N$2:$X$5,11,FALSE),"")</calculatedColumnFormula>
    </tableColumn>
    <tableColumn id="19" xr3:uid="{1733AC7E-5743-4A31-823E-119C7450D7C0}" name="B4" dataDxfId="83">
      <calculatedColumnFormula>IFERROR(VLOOKUP($B12,$O$2:$X$5,10,FALSE),"")</calculatedColumnFormula>
    </tableColumn>
    <tableColumn id="20" xr3:uid="{EE73992D-CB8F-47A5-927C-6D4E975CBA37}" name="B5" dataDxfId="82">
      <calculatedColumnFormula>IFERROR(VLOOKUP($B12,$P$2:$X$5,9,FALSE),"")</calculatedColumnFormula>
    </tableColumn>
    <tableColumn id="21" xr3:uid="{1A746897-CBA6-4B5C-832A-1E5305F46E87}" name="B6" dataDxfId="81">
      <calculatedColumnFormula>IFERROR(VLOOKUP($B12,$Q$2:$X$5,8,FALSE),"")</calculatedColumnFormula>
    </tableColumn>
    <tableColumn id="22" xr3:uid="{0B6A17B2-0091-416A-92BC-F6952838E8DE}" name="B7" dataDxfId="80">
      <calculatedColumnFormula>IFERROR(VLOOKUP($B12,$R$2:$X$5,7,FALSE),"")</calculatedColumnFormula>
    </tableColumn>
    <tableColumn id="23" xr3:uid="{9B9F47DD-CA68-4694-97B9-D6E001986EE0}" name="B8" dataDxfId="79">
      <calculatedColumnFormula>IFERROR(VLOOKUP($B12,$S$2:$X$5,7,FALSE),"")</calculatedColumnFormula>
    </tableColumn>
    <tableColumn id="24" xr3:uid="{A14BE65D-5E6E-481A-A8F3-E6403FB0E927}" name="B9" dataDxfId="78">
      <calculatedColumnFormula>IFERROR(VLOOKUP($B12,$R$2:$X$5,7,FALSE),"")</calculatedColumnFormula>
    </tableColumn>
    <tableColumn id="25" xr3:uid="{D783DB27-767D-44E3-A291-795C55CE79C4}" name="B10" dataDxfId="77">
      <calculatedColumnFormula>IFERROR(VLOOKUP($B12,$R$2:$X$5,7,FALSE),"")</calculatedColumnFormula>
    </tableColumn>
    <tableColumn id="26" xr3:uid="{5F911DD5-849C-423B-B4DB-F7A251D27E8E}" name="B11" dataDxfId="76">
      <calculatedColumnFormula>IFERROR(VLOOKUP($B12,$R$2:$X$5,7,FALSE),"")</calculatedColumnFormula>
    </tableColumn>
    <tableColumn id="27" xr3:uid="{29FFB44D-1F18-49A6-9D83-A310A10FF345}" name="B12" dataDxfId="75">
      <calculatedColumnFormula>IFERROR(VLOOKUP($B12,$W$2:$X$5,2,FALSE)*2,"")</calculatedColumnFormula>
    </tableColumn>
    <tableColumn id="28" xr3:uid="{15D07AAC-2431-420E-89AE-A250E4F922FE}" name="Kola" dataDxfId="74"/>
    <tableColumn id="29" xr3:uid="{448D57AD-8064-4812-A345-8AD930FB3B54}" name="BP1" dataDxfId="73">
      <calculatedColumnFormula>IFERROR(VLOOKUP($B12,$Y$4:$AP$5,18,FALSE),"")</calculatedColumnFormula>
    </tableColumn>
    <tableColumn id="30" xr3:uid="{52486714-6898-4C6D-A5AD-94BF0E10492E}" name="BP2" dataDxfId="72">
      <calculatedColumnFormula>IFERROR(VLOOKUP($B12,$Z$4:$AP$5,17,FALSE),"")</calculatedColumnFormula>
    </tableColumn>
    <tableColumn id="31" xr3:uid="{D0A4C187-2920-408F-8081-A05A08145740}" name="BP3" dataDxfId="71">
      <calculatedColumnFormula>IFERROR(VLOOKUP($B12,$AA$4:$AP$5,16,FALSE),"")</calculatedColumnFormula>
    </tableColumn>
    <tableColumn id="32" xr3:uid="{1B430A66-BED3-4533-93C0-F381EFE92D9C}" name="BP4" dataDxfId="70">
      <calculatedColumnFormula>IFERROR(VLOOKUP($B12,$AB$4:$AP$5,15,FALSE),"")</calculatedColumnFormula>
    </tableColumn>
    <tableColumn id="33" xr3:uid="{7DF16C90-EA96-455A-B776-6C55F0C6C7D9}" name="BP5" dataDxfId="69">
      <calculatedColumnFormula>IFERROR(VLOOKUP($B12,$AC$4:$AP$5,14,FALSE),"")</calculatedColumnFormula>
    </tableColumn>
    <tableColumn id="34" xr3:uid="{D78F3BBA-DE1E-4BDB-B7EA-A8D28F902B31}" name="BP6" dataDxfId="68">
      <calculatedColumnFormula>IFERROR(VLOOKUP($B12,$AD$4:$AP$5,13,FALSE),"")</calculatedColumnFormula>
    </tableColumn>
    <tableColumn id="35" xr3:uid="{8FC1218C-3E6C-4E77-A06B-27467AAFAC7C}" name="BP7" dataDxfId="67">
      <calculatedColumnFormula>IFERROR(VLOOKUP($B12,$AE$4:$AP$5,12,FALSE),"")</calculatedColumnFormula>
    </tableColumn>
    <tableColumn id="36" xr3:uid="{54C202B4-62AE-4072-8DE9-A09044B04E90}" name="BP8" dataDxfId="66">
      <calculatedColumnFormula>IFERROR(VLOOKUP($B12,$AF$4:$AP$5,11,FALSE),"")</calculatedColumnFormula>
    </tableColumn>
    <tableColumn id="37" xr3:uid="{AACB6034-8A61-4469-9DC3-2B7B2AEE2C90}" name="BP9" dataDxfId="65">
      <calculatedColumnFormula>IFERROR(VLOOKUP($B12,$AG$4:$AP$5,10,FALSE),"")</calculatedColumnFormula>
    </tableColumn>
    <tableColumn id="38" xr3:uid="{1115A933-CE31-49C8-84F5-D1E74D38CF69}" name="BP10" dataDxfId="64">
      <calculatedColumnFormula>IFERROR(VLOOKUP($B12,$AH$4:$AP$5,9,FALSE),"")</calculatedColumnFormula>
    </tableColumn>
    <tableColumn id="39" xr3:uid="{2281A030-0634-4BB4-98AE-227A4B74B164}" name="BP11" dataDxfId="63">
      <calculatedColumnFormula>IFERROR(VLOOKUP($B12,$AI$4:$AP$5,8,FALSE),"")</calculatedColumnFormula>
    </tableColumn>
    <tableColumn id="40" xr3:uid="{DD523454-2E5D-4F24-BC09-405D5B29516D}" name="BP12" dataDxfId="62">
      <calculatedColumnFormula>IFERROR(VLOOKUP($B12,$AJ$4:$AP$5,7,FALSE),"")</calculatedColumnFormula>
    </tableColumn>
    <tableColumn id="41" xr3:uid="{C552707A-2729-42E0-AB7A-E928B388A5C2}" name="BP13" dataDxfId="61">
      <calculatedColumnFormula>IFERROR(VLOOKUP($B12,$AK$4:$AP$5,6,FALSE),"")</calculatedColumnFormula>
    </tableColumn>
    <tableColumn id="42" xr3:uid="{4D6050B9-3D1A-41FB-9EBB-57AF9F3FFC62}" name="BP14" dataDxfId="60">
      <calculatedColumnFormula>IFERROR(VLOOKUP($B12,$AL$4:$AP$5,5,FALSE),"")</calculatedColumnFormula>
    </tableColumn>
    <tableColumn id="43" xr3:uid="{A4A713B5-E6C1-4788-8131-AEE324A49E90}" name="BP15" dataDxfId="59">
      <calculatedColumnFormula>IFERROR(VLOOKUP($B12,$AM$4:$AP$5,4,FALSE),"")</calculatedColumnFormula>
    </tableColumn>
    <tableColumn id="44" xr3:uid="{F433A9E1-9B74-4407-8946-4F3D3CA1F0A5}" name="BP16" dataDxfId="58">
      <calculatedColumnFormula>IFERROR(VLOOKUP($B12,$AN$4:$AP$5,3,FALSE),"")</calculatedColumnFormula>
    </tableColumn>
    <tableColumn id="45" xr3:uid="{3937FD19-D5AD-4449-8471-E6AFC5C82346}" name="BP17" dataDxfId="57">
      <calculatedColumnFormula>IFERROR(VLOOKUP($B12,$AN$4:$AP$5,3,FALSE),"")</calculatedColumnFormula>
    </tableColumn>
    <tableColumn id="48" xr3:uid="{FD19D534-94ED-4F9D-A211-96357E57F37A}" name="BP18"/>
    <tableColumn id="6" xr3:uid="{2D2D397E-E4B2-4DFD-A202-9EA5813F550E}" name="Rank2" dataDxfId="56">
      <calculatedColumnFormula>Tabulka13[[#This Row],[Rank]]</calculatedColumnFormula>
    </tableColumn>
    <tableColumn id="47" xr3:uid="{B3ACB371-3CB1-4F82-9E71-12D981928824}" name="Race no.3" dataDxfId="55">
      <calculatedColumnFormula>Tabulka13[[#This Row],[Race no.]]</calculatedColumnFormula>
    </tableColumn>
    <tableColumn id="49" xr3:uid="{70F98EF6-CECB-49CC-8B0D-558A3D852829}" name="Surname and name5">
      <calculatedColumnFormula>Tabulka13[[#This Row],[Surname and name]]</calculatedColumnFormula>
    </tableColumn>
    <tableColumn id="50" xr3:uid="{4EB22EC6-D50B-4531-ADFE-45AF12623A01}" name="Team6">
      <calculatedColumnFormula>Tabulka13[[#This Row],[Team]]</calculatedColumnFormula>
    </tableColumn>
    <tableColumn id="51" xr3:uid="{6170EC3D-8819-493E-919A-B08C2487A420}" name="Category7" dataDxfId="54">
      <calculatedColumnFormula>Tabulka13[[#This Row],[UCI ID]]</calculatedColumnFormula>
    </tableColumn>
    <tableColumn id="53" xr3:uid="{ED057F6D-D974-438B-832B-167D3102F28D}" name="pořadí">
      <calculatedColumnFormula>#REF!</calculatedColumnFormula>
    </tableColumn>
    <tableColumn id="54" xr3:uid="{AAC80979-94D6-447B-9CC8-B51C2F5E6F79}" name="body">
      <calculatedColumnFormula>#REF!</calculatedColumnFormula>
    </tableColumn>
    <tableColumn id="60" xr3:uid="{1F4B893E-2802-4763-842F-6819367833B9}" name="body13" dataDxfId="53">
      <calculatedColumnFormula>Tabulka13[[#This Row],[Body_bod]]</calculatedColumnFormula>
    </tableColumn>
  </tableColumns>
  <tableStyleInfo name="TableStyleMedium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B4B6A6-B13A-492E-A809-47C4D89DA357}" name="Tabulka134" displayName="Tabulka134" ref="A11:BJ29" totalsRowShown="0">
  <autoFilter ref="A11:BJ29" xr:uid="{288B4BFF-FA02-46AB-A3D7-6AC106E78207}"/>
  <sortState xmlns:xlrd2="http://schemas.microsoft.com/office/spreadsheetml/2017/richdata2" ref="A12:BJ29">
    <sortCondition ref="A11:A29"/>
  </sortState>
  <tableColumns count="62">
    <tableColumn id="1" xr3:uid="{6D66B4D0-851B-41F7-93BA-88741F535150}" name="Rank" dataDxfId="52">
      <calculatedColumnFormula>RANK(Tabulka134[[#This Row],[celkem]],Tabulka134[celkem],0)</calculatedColumnFormula>
    </tableColumn>
    <tableColumn id="2" xr3:uid="{BA3C8679-0B76-49BF-ABB4-C4B08B275A39}" name="Race no." dataDxfId="51"/>
    <tableColumn id="3" xr3:uid="{94B7F95B-67CD-4FBC-A06D-DFA7A5BECC3A}" name="UCI ID" dataDxfId="50"/>
    <tableColumn id="4" xr3:uid="{0E0536E4-CC50-482D-BAA9-DCF3FA9E553E}" name="Surname and name" dataDxfId="49"/>
    <tableColumn id="5" xr3:uid="{FB59C6F6-24EE-4139-BFCF-2839598D6A44}" name="Team" dataDxfId="48"/>
    <tableColumn id="7" xr3:uid="{1C2CF90A-85CB-4F48-A495-8DD7935FA305}" name="Category" dataDxfId="47"/>
    <tableColumn id="8" xr3:uid="{DA3600AD-CD09-499B-B4B9-4D6C7C0583F2}" name="celkem" dataDxfId="46">
      <calculatedColumnFormula>SUM(I12+L12+N12+O12)</calculatedColumnFormula>
    </tableColumn>
    <tableColumn id="9" xr3:uid="{346B1871-AFD0-4C7D-BEB3-B534B6E9A9C4}" name="pořadíSC" dataDxfId="45">
      <calculatedColumnFormula>IFERROR(VLOOKUP(Tabulka134[[#This Row],[Race no.]],Scrarch!D:E,2,FALSE),"x")</calculatedColumnFormula>
    </tableColumn>
    <tableColumn id="10" xr3:uid="{96FB4295-43FA-4BAD-A461-879B2B7C2DFA}" name="bodySC" dataDxfId="44">
      <calculatedColumnFormula>IFERROR(VLOOKUP(H12,List1!B:C,2,FALSE),0)</calculatedColumnFormula>
    </tableColumn>
    <tableColumn id="11" xr3:uid="{246791F7-1ADE-4112-90B9-48AE428A50F9}" name="pořadíPRV" dataDxfId="43"/>
    <tableColumn id="62" xr3:uid="{0A651855-C12F-464A-8BBA-D24B1B147331}" name="Sloupec1" dataDxfId="42">
      <calculatedColumnFormula>IFERROR(VLOOKUP(Tabulka134[[#This Row],[Race no.]],Prvenstvi!D:E,2,FALSE),"x")</calculatedColumnFormula>
    </tableColumn>
    <tableColumn id="12" xr3:uid="{98CC26AF-1096-43C0-856C-61BA9993E643}" name="BodyPRV" dataDxfId="41">
      <calculatedColumnFormula>IFERROR(VLOOKUP(J12,List1!B:C,2,FALSE),0)</calculatedColumnFormula>
    </tableColumn>
    <tableColumn id="13" xr3:uid="{E6662FFC-1F6C-4125-BD4E-29BAC279C6F8}" name="PoradíVyl" dataDxfId="40">
      <calculatedColumnFormula>IFERROR(VLOOKUP(Tabulka134[[#This Row],[Race no.]],Vylučovačka!D:E,2,FALSE),"x")</calculatedColumnFormula>
    </tableColumn>
    <tableColumn id="14" xr3:uid="{45C1A1C6-E364-4AAE-9441-276583376E5F}" name="Body_vyl" dataDxfId="39">
      <calculatedColumnFormula>IFERROR(VLOOKUP(M12,List1!B:C,2,FALSE),0)</calculatedColumnFormula>
    </tableColumn>
    <tableColumn id="15" xr3:uid="{94511ACE-691B-43A4-BB82-18BFC315FB9E}" name="Body_bod" dataDxfId="38">
      <calculatedColumnFormula>SUM(R12:AD12)</calculatedColumnFormula>
    </tableColumn>
    <tableColumn id="59" xr3:uid="{51187763-2488-4F14-AF1C-CFAA9A4908CF}" name="Páska_bod" dataDxfId="37">
      <calculatedColumnFormula>IFERROR(VLOOKUP(Tabulka134[[#This Row],[Race no.]],Bodovacka!D:E,2,FALSE),"x")</calculatedColumnFormula>
    </tableColumn>
    <tableColumn id="46" xr3:uid="{7F166BD9-B29D-4C4C-958E-D89458B81A70}" name="Body_prv" dataDxfId="36">
      <calculatedColumnFormula>SUM(AE12:AU12)</calculatedColumnFormula>
    </tableColumn>
    <tableColumn id="16" xr3:uid="{CF2A9CC6-A908-43FC-86CE-E2D81E001D28}" name="B1" dataDxfId="35">
      <calculatedColumnFormula>IFERROR(VLOOKUP($B12,$R$2:$AD$5,13,FALSE),"")</calculatedColumnFormula>
    </tableColumn>
    <tableColumn id="17" xr3:uid="{E36C1D4F-B4D4-4FCB-A7A9-E9FA59C5D97B}" name="B2" dataDxfId="34">
      <calculatedColumnFormula>IFERROR(VLOOKUP($B12,$S$2:$AD$5,12,FALSE),"")</calculatedColumnFormula>
    </tableColumn>
    <tableColumn id="18" xr3:uid="{BB079409-72C6-4C35-8813-FDB3065AB3CF}" name="B3" dataDxfId="33">
      <calculatedColumnFormula>IFERROR(VLOOKUP($B12,$T$2:$AD$5,11,FALSE),"")</calculatedColumnFormula>
    </tableColumn>
    <tableColumn id="19" xr3:uid="{4DF9AA51-F22C-418E-85CB-45A331E9EB23}" name="B4" dataDxfId="32">
      <calculatedColumnFormula>IFERROR(VLOOKUP($B12,$U$2:$AD$5,10,FALSE),"")</calculatedColumnFormula>
    </tableColumn>
    <tableColumn id="20" xr3:uid="{C3B2D01B-8478-41BC-AEA8-0E96EF3D3F25}" name="B5" dataDxfId="31">
      <calculatedColumnFormula>IFERROR(VLOOKUP($B12,$V$2:$AD$5,9,FALSE),"")</calculatedColumnFormula>
    </tableColumn>
    <tableColumn id="21" xr3:uid="{57BF3271-060A-4A9A-B596-F0D532EB8F43}" name="B6" dataDxfId="30">
      <calculatedColumnFormula>IFERROR(VLOOKUP($B12,$W$2:$AD$5,8,FALSE),"")</calculatedColumnFormula>
    </tableColumn>
    <tableColumn id="22" xr3:uid="{4670FA53-AD14-479F-A1B5-9EB7D863AFDB}" name="B7" dataDxfId="29">
      <calculatedColumnFormula>IFERROR(VLOOKUP($B12,$X$2:$AD$5,7,FALSE),"")</calculatedColumnFormula>
    </tableColumn>
    <tableColumn id="23" xr3:uid="{6E64D48F-9CE4-466C-8BE4-BDB57CE75E53}" name="B8" dataDxfId="28">
      <calculatedColumnFormula>IFERROR(VLOOKUP($B12,$Y$2:$AD$5,6,FALSE),"")</calculatedColumnFormula>
    </tableColumn>
    <tableColumn id="24" xr3:uid="{3613A60C-4EA2-4DF3-B62A-982C7ED5789A}" name="B9" dataDxfId="27">
      <calculatedColumnFormula>IFERROR(VLOOKUP($B12,$Z$2:$AD$5,5,FALSE),"")</calculatedColumnFormula>
    </tableColumn>
    <tableColumn id="25" xr3:uid="{FC1E0DDB-029B-463C-86F2-5EE8071E07B9}" name="B10" dataDxfId="26">
      <calculatedColumnFormula>IFERROR(VLOOKUP($B12,$AA$2:$AD$5,4,FALSE),"")</calculatedColumnFormula>
    </tableColumn>
    <tableColumn id="26" xr3:uid="{B4608726-6783-4EAD-92CF-40BD79780F17}" name="B11" dataDxfId="25">
      <calculatedColumnFormula>IFERROR(VLOOKUP($B12,$AB$2:$AD$5,3,FALSE),"")</calculatedColumnFormula>
    </tableColumn>
    <tableColumn id="27" xr3:uid="{6C3F3473-1A97-46E6-B668-B5F672102C71}" name="B12" dataDxfId="24">
      <calculatedColumnFormula>IFERROR(VLOOKUP($B12,$AC$2:$AD$5,2,FALSE)*2,"")</calculatedColumnFormula>
    </tableColumn>
    <tableColumn id="28" xr3:uid="{0AFA362A-D700-40F6-A820-7859BF22103E}" name="Kola" dataDxfId="23"/>
    <tableColumn id="29" xr3:uid="{4EA7C78D-DAF1-4B2C-86CC-A1EB46E48632}" name="BP1" dataDxfId="22">
      <calculatedColumnFormula>IFERROR(VLOOKUP($B12,$AE$4:$AV$5,18,FALSE),"")</calculatedColumnFormula>
    </tableColumn>
    <tableColumn id="30" xr3:uid="{8EC1C4A8-6BB8-41F8-A589-78535A2BFDA2}" name="BP2" dataDxfId="21">
      <calculatedColumnFormula>IFERROR(VLOOKUP($B12,$AF$4:$AV$5,17,FALSE),"")</calculatedColumnFormula>
    </tableColumn>
    <tableColumn id="31" xr3:uid="{D6533F14-74F1-4800-82E2-FD9A43BAD2ED}" name="BP3" dataDxfId="20">
      <calculatedColumnFormula>IFERROR(VLOOKUP($B12,$AG$4:$AV$5,16,FALSE),"")</calculatedColumnFormula>
    </tableColumn>
    <tableColumn id="32" xr3:uid="{3C3764F9-0FF5-468E-9DE0-CFDF68D94419}" name="BP4" dataDxfId="19">
      <calculatedColumnFormula>IFERROR(VLOOKUP($B12,$AH$4:$AV$5,15,FALSE),"")</calculatedColumnFormula>
    </tableColumn>
    <tableColumn id="33" xr3:uid="{72AA122E-6582-4E4F-AADB-A82A7AD3DD95}" name="BP5" dataDxfId="18">
      <calculatedColumnFormula>IFERROR(VLOOKUP($B12,$AI$4:$AV$5,14,FALSE),"")</calculatedColumnFormula>
    </tableColumn>
    <tableColumn id="34" xr3:uid="{B1CB87B1-53AE-4D52-BA0B-60B79B49AF6D}" name="BP6" dataDxfId="17">
      <calculatedColumnFormula>IFERROR(VLOOKUP($B12,$AJ$4:$AV$5,13,FALSE),"")</calculatedColumnFormula>
    </tableColumn>
    <tableColumn id="35" xr3:uid="{85CC5AF4-F877-4EEB-88EF-A6A26FEF26F8}" name="BP7" dataDxfId="16">
      <calculatedColumnFormula>IFERROR(VLOOKUP($B12,$AK$4:$AV$5,12,FALSE),"")</calculatedColumnFormula>
    </tableColumn>
    <tableColumn id="36" xr3:uid="{D88C2658-C152-44B1-B61E-1E3CE526E874}" name="BP8" dataDxfId="15">
      <calculatedColumnFormula>IFERROR(VLOOKUP($B12,$AL$4:$AV$5,11,FALSE),"")</calculatedColumnFormula>
    </tableColumn>
    <tableColumn id="37" xr3:uid="{D86095AF-1887-4A6E-9A65-CC9F958433E4}" name="BP9" dataDxfId="14">
      <calculatedColumnFormula>IFERROR(VLOOKUP($B12,$AM$4:$AV$5,10,FALSE),"")</calculatedColumnFormula>
    </tableColumn>
    <tableColumn id="38" xr3:uid="{021BAC97-BDBD-4133-8AD3-C64ABE79666B}" name="BP10" dataDxfId="13">
      <calculatedColumnFormula>IFERROR(VLOOKUP($B12,$AN$4:$AV$5,9,FALSE),"")</calculatedColumnFormula>
    </tableColumn>
    <tableColumn id="39" xr3:uid="{68E6005E-7A74-45A6-B026-774101DAC9D7}" name="BP11" dataDxfId="12">
      <calculatedColumnFormula>IFERROR(VLOOKUP($B12,$AO$4:$AV$5,8,FALSE),"")</calculatedColumnFormula>
    </tableColumn>
    <tableColumn id="40" xr3:uid="{C9CE882F-DFEA-4CF4-BBEE-5DBC674781F1}" name="BP12" dataDxfId="11">
      <calculatedColumnFormula>IFERROR(VLOOKUP($B12,$AP$4:$AV$5,7,FALSE),"")</calculatedColumnFormula>
    </tableColumn>
    <tableColumn id="41" xr3:uid="{BA4C9B0C-446D-4862-9C42-ECEDFC5884E3}" name="BP13" dataDxfId="10">
      <calculatedColumnFormula>IFERROR(VLOOKUP($B12,$AQ$4:$AV$5,6,FALSE),"")</calculatedColumnFormula>
    </tableColumn>
    <tableColumn id="42" xr3:uid="{1A1F9D5D-9899-49C9-AA05-5EA48EFE64AF}" name="BP14" dataDxfId="9">
      <calculatedColumnFormula>IFERROR(VLOOKUP($B12,$AR$4:$AV$5,5,FALSE),"")</calculatedColumnFormula>
    </tableColumn>
    <tableColumn id="43" xr3:uid="{312D7191-9904-4B8E-AD5E-3842781B2AE9}" name="BP15" dataDxfId="8">
      <calculatedColumnFormula>IFERROR(VLOOKUP($B12,$AS$4:$AV$5,4,FALSE),"")</calculatedColumnFormula>
    </tableColumn>
    <tableColumn id="44" xr3:uid="{FBD8EE1B-18EC-45A3-9515-037F63C5074B}" name="BP16" dataDxfId="7">
      <calculatedColumnFormula>IFERROR(VLOOKUP($B12,$AT$4:$AV$5,3,FALSE),"")</calculatedColumnFormula>
    </tableColumn>
    <tableColumn id="45" xr3:uid="{84C81073-C04E-49C3-9313-092B2A34BA9C}" name="BP17" dataDxfId="6">
      <calculatedColumnFormula>IFERROR(VLOOKUP($B12,$AU$4:$AV$5,2,FALSE),"")</calculatedColumnFormula>
    </tableColumn>
    <tableColumn id="48" xr3:uid="{F3D55056-24E3-4108-8A25-9E59F81B6213}" name="BP18"/>
    <tableColumn id="6" xr3:uid="{4051B0DC-FA78-4516-B26C-EACB28AC1F66}" name="Rank2" dataDxfId="5">
      <calculatedColumnFormula>Tabulka134[[#This Row],[Rank]]</calculatedColumnFormula>
    </tableColumn>
    <tableColumn id="47" xr3:uid="{BAA0A7CF-28B6-4ED3-8A25-8B0EB4A91D35}" name="Race no.3" dataDxfId="4">
      <calculatedColumnFormula>Tabulka134[[#This Row],[Race no.]]</calculatedColumnFormula>
    </tableColumn>
    <tableColumn id="49" xr3:uid="{634CB517-4C5C-4AFF-9647-29D02E0ED141}" name="Surname and name5">
      <calculatedColumnFormula>Tabulka134[[#This Row],[Surname and name]]</calculatedColumnFormula>
    </tableColumn>
    <tableColumn id="50" xr3:uid="{970E82E7-B783-4D0A-AEF6-3891FF953C3C}" name="Team6">
      <calculatedColumnFormula>Tabulka134[[#This Row],[Team]]</calculatedColumnFormula>
    </tableColumn>
    <tableColumn id="51" xr3:uid="{C9942F5E-CD28-4A86-91BC-4E19D21646BE}" name="Category7">
      <calculatedColumnFormula>Tabulka134[[#This Row],[Category]]</calculatedColumnFormula>
    </tableColumn>
    <tableColumn id="52" xr3:uid="{A1AC24E1-2D0A-45C2-B887-F71F22652D65}" name="celkem8">
      <calculatedColumnFormula>Tabulka134[[#This Row],[celkem]]</calculatedColumnFormula>
    </tableColumn>
    <tableColumn id="53" xr3:uid="{1B86AA86-C972-465D-B7FB-77C9E6190910}" name="pořadí">
      <calculatedColumnFormula>Tabulka134[[#This Row],[pořadíSC]]</calculatedColumnFormula>
    </tableColumn>
    <tableColumn id="54" xr3:uid="{E5D99BE8-52BD-4325-B3F1-2813658DDF53}" name="body">
      <calculatedColumnFormula>Tabulka134[[#This Row],[bodySC]]</calculatedColumnFormula>
    </tableColumn>
    <tableColumn id="55" xr3:uid="{D7F70418-F3B5-4680-A641-67B7A4923594}" name="pořadí9">
      <calculatedColumnFormula>Tabulka134[[#This Row],[pořadíPRV]]</calculatedColumnFormula>
    </tableColumn>
    <tableColumn id="61" xr3:uid="{02C1C64B-3E3E-4444-BDB0-247FC3ABE2AA}" name="pořadí10" dataDxfId="3">
      <calculatedColumnFormula>Tabulka134[[#This Row],[BodyPRV]]</calculatedColumnFormula>
    </tableColumn>
    <tableColumn id="56" xr3:uid="{2A411220-ECA5-4EC2-9AA3-5108C44817E9}" name="body10" dataDxfId="2">
      <calculatedColumnFormula>Tabulka134[[#This Row],[Body_prv]]</calculatedColumnFormula>
    </tableColumn>
    <tableColumn id="57" xr3:uid="{FF9768DA-3145-4CE8-96B7-456FCDED96B2}" name="pořadí11" dataDxfId="1">
      <calculatedColumnFormula>Tabulka134[[#This Row],[PoradíVyl]]</calculatedColumnFormula>
    </tableColumn>
    <tableColumn id="58" xr3:uid="{913C833F-BD96-40EB-9DAD-222F5852A56B}" name="Body12">
      <calculatedColumnFormula>Tabulka134[[#This Row],[Body_vyl]]</calculatedColumnFormula>
    </tableColumn>
    <tableColumn id="60" xr3:uid="{25217EFB-9149-42A6-9750-6F8702249F5A}" name="body13">
      <calculatedColumnFormula>Tabulka134[[#This Row],[Body_vyl]]</calculatedColumnFormula>
    </tableColumn>
  </tableColumns>
  <tableStyleInfo name="TableStyleMedium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01EBAA-D734-4A82-9338-E9D899AD23B3}" name="Tabulka1" displayName="Tabulka1" ref="D2:I112" totalsRowShown="0">
  <autoFilter ref="D2:I112" xr:uid="{6A01EBAA-D734-4A82-9338-E9D899AD23B3}"/>
  <sortState xmlns:xlrd2="http://schemas.microsoft.com/office/spreadsheetml/2017/richdata2" ref="D3:I112">
    <sortCondition ref="I3:I112"/>
  </sortState>
  <tableColumns count="6">
    <tableColumn id="1" xr3:uid="{9C8A5CE6-28AC-4800-9511-2A1ABC06A709}" name="Jmeno"/>
    <tableColumn id="2" xr3:uid="{5583EC34-C798-40F2-B046-C5FF407D230E}" name="Prijmeni"/>
    <tableColumn id="3" xr3:uid="{C20AB166-F332-447F-A2FB-C7A72EC51902}" name="TEAM"/>
    <tableColumn id="4" xr3:uid="{BB9E9604-DB89-4A6F-B319-2870419FB2E4}" name="RN"/>
    <tableColumn id="5" xr3:uid="{57BCFC5F-9A90-413B-9492-CFC5C61BCA70}" name="POH"/>
    <tableColumn id="6" xr3:uid="{CACF5494-ABA2-4720-A36F-2205D5E86023}" name="KA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0240-CC1A-4FDD-A1E6-FAE71ADFCAD5}">
  <sheetPr>
    <pageSetUpPr fitToPage="1"/>
  </sheetPr>
  <dimension ref="A1:AX42"/>
  <sheetViews>
    <sheetView zoomScale="115" zoomScaleNormal="115" workbookViewId="0">
      <pane xSplit="5" ySplit="11" topLeftCell="AD12" activePane="bottomRight" state="frozen"/>
      <selection pane="topRight"/>
      <selection pane="bottomLeft"/>
      <selection pane="bottomRight" activeCell="AS6" sqref="AS6:AS7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hidden="1" customWidth="1" outlineLevel="1"/>
    <col min="24" max="24" width="11.140625" customWidth="1" collapsed="1"/>
    <col min="25" max="41" width="5.140625" customWidth="1" outlineLevel="1"/>
    <col min="42" max="42" width="5.140625" customWidth="1"/>
    <col min="43" max="43" width="7" customWidth="1"/>
    <col min="44" max="44" width="5.42578125" customWidth="1"/>
    <col min="45" max="45" width="26.85546875" customWidth="1"/>
    <col min="46" max="46" width="26.28515625" customWidth="1"/>
    <col min="47" max="47" width="10.5703125" customWidth="1"/>
    <col min="48" max="48" width="4.85546875" hidden="1" customWidth="1"/>
    <col min="49" max="49" width="4.42578125" hidden="1" customWidth="1"/>
    <col min="50" max="50" width="7.85546875" hidden="1" customWidth="1"/>
    <col min="51" max="1016" width="8.85546875" customWidth="1"/>
  </cols>
  <sheetData>
    <row r="1" spans="1:50" s="2" customFormat="1" ht="121.5" customHeight="1" outlineLevel="2">
      <c r="A1" s="95" t="s">
        <v>0</v>
      </c>
      <c r="B1" s="95"/>
      <c r="C1" s="95"/>
      <c r="D1" s="95"/>
      <c r="E1" s="95"/>
      <c r="F1" s="95"/>
      <c r="G1" s="95"/>
      <c r="H1" s="95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2">
        <v>5</v>
      </c>
    </row>
    <row r="3" spans="1:50">
      <c r="A3" s="96" t="s">
        <v>335</v>
      </c>
      <c r="B3" s="96"/>
      <c r="C3" s="96"/>
      <c r="D3" s="96"/>
      <c r="F3" s="4"/>
      <c r="G3" s="97"/>
      <c r="H3" s="97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2">
        <v>3</v>
      </c>
      <c r="AQ3" t="str">
        <f>A3</f>
        <v>Datum / Date: 8. 8. 2023</v>
      </c>
    </row>
    <row r="4" spans="1:50" ht="21">
      <c r="A4" s="98" t="s">
        <v>2</v>
      </c>
      <c r="B4" s="98"/>
      <c r="C4" s="98"/>
      <c r="D4" s="98"/>
      <c r="E4" s="98"/>
      <c r="F4" s="98"/>
      <c r="G4" s="98"/>
      <c r="H4" s="98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99" t="str">
        <f>A4</f>
        <v>Výsledková listina / Result list</v>
      </c>
      <c r="AR4" s="99"/>
      <c r="AS4" s="99"/>
      <c r="AT4" s="99"/>
      <c r="AU4" s="99"/>
      <c r="AV4" s="99"/>
      <c r="AW4" s="99"/>
      <c r="AX4" s="99"/>
    </row>
    <row r="5" spans="1:50" ht="22.5" customHeight="1">
      <c r="C5" s="1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Q5" t="s">
        <v>378</v>
      </c>
      <c r="AS5" s="100" t="s">
        <v>380</v>
      </c>
      <c r="AT5" s="100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101" t="s">
        <v>12</v>
      </c>
      <c r="H6" s="101"/>
      <c r="I6" s="102" t="s">
        <v>13</v>
      </c>
      <c r="J6" s="103"/>
      <c r="K6" s="34" t="s">
        <v>11</v>
      </c>
      <c r="L6" s="94" t="s">
        <v>14</v>
      </c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34" t="s">
        <v>15</v>
      </c>
      <c r="Y6" s="102" t="s">
        <v>16</v>
      </c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3"/>
      <c r="AP6" s="53"/>
      <c r="AQ6" s="5" t="s">
        <v>3</v>
      </c>
      <c r="AR6" s="5" t="s">
        <v>4</v>
      </c>
      <c r="AS6" s="5" t="s">
        <v>381</v>
      </c>
      <c r="AT6" s="5" t="s">
        <v>7</v>
      </c>
      <c r="AU6" s="5" t="s">
        <v>5</v>
      </c>
      <c r="AV6" s="94" t="s">
        <v>10</v>
      </c>
      <c r="AW6" s="94"/>
      <c r="AX6" s="5" t="s">
        <v>336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382</v>
      </c>
      <c r="AT7" s="6" t="s">
        <v>22</v>
      </c>
      <c r="AU7" s="6" t="s">
        <v>5</v>
      </c>
      <c r="AV7" s="34" t="s">
        <v>25</v>
      </c>
      <c r="AW7" s="34" t="s">
        <v>9</v>
      </c>
      <c r="AX7" s="6" t="s">
        <v>339</v>
      </c>
    </row>
    <row r="8" spans="1:50" ht="11.25" customHeight="1">
      <c r="C8" s="1"/>
    </row>
    <row r="9" spans="1:50" ht="15" hidden="1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/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hidden="1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 collapsed="1">
      <c r="A12" s="14">
        <f>RANK(Tabulka135[[#This Row],[Body_bod]],Tabulka135[Body_bod],0)</f>
        <v>1</v>
      </c>
      <c r="B12" s="44">
        <v>4</v>
      </c>
      <c r="C12" s="15">
        <v>10095668959</v>
      </c>
      <c r="D12" s="16" t="s">
        <v>346</v>
      </c>
      <c r="E12" s="17" t="s">
        <v>341</v>
      </c>
      <c r="F12" s="18" t="s">
        <v>345</v>
      </c>
      <c r="G12" s="49">
        <f>IFERROR(VLOOKUP(Tabulka135[[#This Row],[Race no.]],Vylučovačka!D:E,2,FALSE),"x")</f>
        <v>1</v>
      </c>
      <c r="H12" s="20">
        <f>IFERROR(VLOOKUP(G12,List1!B:C,2,FALSE),0)</f>
        <v>40</v>
      </c>
      <c r="I12" s="22">
        <f t="shared" ref="I12:I39" si="0">SUM(L12:X12)</f>
        <v>0</v>
      </c>
      <c r="J12" s="50">
        <f>IFERROR(VLOOKUP(Tabulka135[[#This Row],[Race no.]],Bodovacka!D:E,2,FALSE),"x")</f>
        <v>1</v>
      </c>
      <c r="K12" s="22">
        <f t="shared" ref="K12:K39" si="1">SUM(Y12:AO12)</f>
        <v>0</v>
      </c>
      <c r="L12" s="23" t="str">
        <f t="shared" ref="L12:L39" si="2">IFERROR(VLOOKUP($B12,$L$2:$X$5,13,FALSE),"")</f>
        <v/>
      </c>
      <c r="M12" s="23" t="str">
        <f t="shared" ref="M12:M39" si="3">IFERROR(VLOOKUP($B12,$M$2:$X$5,12,FALSE),"")</f>
        <v/>
      </c>
      <c r="N12" s="23" t="str">
        <f t="shared" ref="N12:N39" si="4">IFERROR(VLOOKUP($B12,$N$2:$X$5,11,FALSE),"")</f>
        <v/>
      </c>
      <c r="O12" s="23" t="str">
        <f t="shared" ref="O12:O39" si="5">IFERROR(VLOOKUP($B12,$O$2:$X$5,10,FALSE),"")</f>
        <v/>
      </c>
      <c r="P12" s="23" t="str">
        <f t="shared" ref="P12:P39" si="6">IFERROR(VLOOKUP($B12,$P$2:$X$5,9,FALSE),"")</f>
        <v/>
      </c>
      <c r="Q12" s="23" t="str">
        <f t="shared" ref="Q12:Q39" si="7">IFERROR(VLOOKUP($B12,$Q$2:$X$5,8,FALSE),"")</f>
        <v/>
      </c>
      <c r="R12" s="23" t="str">
        <f t="shared" ref="R12:R39" si="8">IFERROR(VLOOKUP($B12,$R$2:$X$5,7,FALSE),"")</f>
        <v/>
      </c>
      <c r="S12" s="23" t="str">
        <f t="shared" ref="S12:S39" si="9">IFERROR(VLOOKUP($B12,$S$2:$X$5,7,FALSE),"")</f>
        <v/>
      </c>
      <c r="T12" s="23" t="str">
        <f t="shared" ref="T12:V39" si="10">IFERROR(VLOOKUP($B12,$R$2:$X$5,7,FALSE),"")</f>
        <v/>
      </c>
      <c r="U12" s="23" t="str">
        <f t="shared" si="10"/>
        <v/>
      </c>
      <c r="V12" s="23" t="str">
        <f t="shared" si="10"/>
        <v/>
      </c>
      <c r="W12" s="23" t="str">
        <f t="shared" ref="W12:W39" si="11">IFERROR(VLOOKUP($B12,$W$2:$X$5,2,FALSE)*2,"")</f>
        <v/>
      </c>
      <c r="X12" s="23"/>
      <c r="Y12" s="57" t="str">
        <f t="shared" ref="Y12:Y39" si="12">IFERROR(VLOOKUP($B12,$Y$4:$AP$5,18,FALSE),"")</f>
        <v/>
      </c>
      <c r="Z12" s="57" t="str">
        <f t="shared" ref="Z12:Z39" si="13">IFERROR(VLOOKUP($B12,$Z$4:$AP$5,17,FALSE),"")</f>
        <v/>
      </c>
      <c r="AA12" s="57" t="str">
        <f t="shared" ref="AA12:AA39" si="14">IFERROR(VLOOKUP($B12,$AA$4:$AP$5,16,FALSE),"")</f>
        <v/>
      </c>
      <c r="AB12" s="57" t="str">
        <f t="shared" ref="AB12:AB39" si="15">IFERROR(VLOOKUP($B12,$AB$4:$AP$5,15,FALSE),"")</f>
        <v/>
      </c>
      <c r="AC12" s="56" t="str">
        <f t="shared" ref="AC12:AC39" si="16">IFERROR(VLOOKUP($B12,$AC$4:$AP$5,14,FALSE),"")</f>
        <v/>
      </c>
      <c r="AD12" s="56" t="str">
        <f t="shared" ref="AD12:AD39" si="17">IFERROR(VLOOKUP($B12,$AD$4:$AP$5,13,FALSE),"")</f>
        <v/>
      </c>
      <c r="AE12" s="56" t="str">
        <f t="shared" ref="AE12:AE39" si="18">IFERROR(VLOOKUP($B12,$AE$4:$AP$5,12,FALSE),"")</f>
        <v/>
      </c>
      <c r="AF12" s="56" t="str">
        <f t="shared" ref="AF12:AF39" si="19">IFERROR(VLOOKUP($B12,$AF$4:$AP$5,11,FALSE),"")</f>
        <v/>
      </c>
      <c r="AG12" s="56" t="str">
        <f t="shared" ref="AG12:AG39" si="20">IFERROR(VLOOKUP($B12,$AG$4:$AP$5,10,FALSE),"")</f>
        <v/>
      </c>
      <c r="AH12" s="56" t="str">
        <f t="shared" ref="AH12:AH39" si="21">IFERROR(VLOOKUP($B12,$AH$4:$AP$5,9,FALSE),"")</f>
        <v/>
      </c>
      <c r="AI12" s="56" t="str">
        <f t="shared" ref="AI12:AI39" si="22">IFERROR(VLOOKUP($B12,$AI$4:$AP$5,8,FALSE),"")</f>
        <v/>
      </c>
      <c r="AJ12" s="56" t="str">
        <f t="shared" ref="AJ12:AJ39" si="23">IFERROR(VLOOKUP($B12,$AJ$4:$AP$5,7,FALSE),"")</f>
        <v/>
      </c>
      <c r="AK12" s="56" t="str">
        <f t="shared" ref="AK12:AK39" si="24">IFERROR(VLOOKUP($B12,$AK$4:$AP$5,6,FALSE),"")</f>
        <v/>
      </c>
      <c r="AL12" s="56" t="str">
        <f t="shared" ref="AL12:AL39" si="25">IFERROR(VLOOKUP($B12,$AL$4:$AP$5,5,FALSE),"")</f>
        <v/>
      </c>
      <c r="AM12" s="56" t="str">
        <f t="shared" ref="AM12:AM39" si="26">IFERROR(VLOOKUP($B12,$AM$4:$AP$5,4,FALSE),"")</f>
        <v/>
      </c>
      <c r="AN12" s="56" t="str">
        <f t="shared" ref="AN12:AO39" si="27">IFERROR(VLOOKUP($B12,$AN$4:$AP$5,3,FALSE),"")</f>
        <v/>
      </c>
      <c r="AO12" s="56" t="str">
        <f t="shared" si="27"/>
        <v/>
      </c>
      <c r="AQ12" s="41">
        <v>1</v>
      </c>
      <c r="AR12" s="36">
        <f>Tabulka135[[#This Row],[Race no.]]</f>
        <v>4</v>
      </c>
      <c r="AS12" s="42" t="str">
        <f>Tabulka135[[#This Row],[Surname and name]]</f>
        <v>Alexandr KANIŠČEV</v>
      </c>
      <c r="AT12" s="40" t="str">
        <f>Tabulka135[[#This Row],[Team]]</f>
        <v>TUFO PARDUS Prostějov z.s.</v>
      </c>
      <c r="AU12" s="40">
        <f>Tabulka135[[#This Row],[UCI ID]]</f>
        <v>10095668959</v>
      </c>
      <c r="AV12" s="36" t="e">
        <f>#REF!</f>
        <v>#REF!</v>
      </c>
      <c r="AW12" s="36" t="e">
        <f>#REF!</f>
        <v>#REF!</v>
      </c>
      <c r="AX12">
        <f>Tabulka135[[#This Row],[Body_bod]]</f>
        <v>0</v>
      </c>
    </row>
    <row r="13" spans="1:50" ht="15" customHeight="1">
      <c r="A13" s="14">
        <f>RANK(Tabulka135[[#This Row],[Body_bod]],Tabulka135[Body_bod],0)</f>
        <v>1</v>
      </c>
      <c r="B13" s="44">
        <v>6</v>
      </c>
      <c r="C13" s="15">
        <v>10120198138</v>
      </c>
      <c r="D13" s="16" t="s">
        <v>348</v>
      </c>
      <c r="E13" s="17" t="s">
        <v>341</v>
      </c>
      <c r="F13" s="18" t="s">
        <v>345</v>
      </c>
      <c r="G13" s="49">
        <f>IFERROR(VLOOKUP(Tabulka135[[#This Row],[Race no.]],Vylučovačka!D:E,2,FALSE),"x")</f>
        <v>2</v>
      </c>
      <c r="H13" s="20">
        <f>IFERROR(VLOOKUP(G13,List1!B:C,2,FALSE),0)</f>
        <v>38</v>
      </c>
      <c r="I13" s="22">
        <f t="shared" si="0"/>
        <v>0</v>
      </c>
      <c r="J13" s="50">
        <f>IFERROR(VLOOKUP(Tabulka135[[#This Row],[Race no.]],Bodovacka!D:E,2,FALSE),"x")</f>
        <v>11</v>
      </c>
      <c r="K13" s="22">
        <f t="shared" si="1"/>
        <v>0</v>
      </c>
      <c r="L13" s="23" t="str">
        <f t="shared" si="2"/>
        <v/>
      </c>
      <c r="M13" s="23" t="str">
        <f t="shared" si="3"/>
        <v/>
      </c>
      <c r="N13" s="23" t="str">
        <f t="shared" si="4"/>
        <v/>
      </c>
      <c r="O13" s="23" t="str">
        <f t="shared" si="5"/>
        <v/>
      </c>
      <c r="P13" s="23" t="str">
        <f t="shared" si="6"/>
        <v/>
      </c>
      <c r="Q13" s="23" t="str">
        <f t="shared" si="7"/>
        <v/>
      </c>
      <c r="R13" s="23" t="str">
        <f t="shared" si="8"/>
        <v/>
      </c>
      <c r="S13" s="23" t="str">
        <f t="shared" si="9"/>
        <v/>
      </c>
      <c r="T13" s="23" t="str">
        <f t="shared" si="10"/>
        <v/>
      </c>
      <c r="U13" s="23" t="str">
        <f t="shared" si="10"/>
        <v/>
      </c>
      <c r="V13" s="23" t="str">
        <f t="shared" si="10"/>
        <v/>
      </c>
      <c r="W13" s="23" t="str">
        <f t="shared" si="11"/>
        <v/>
      </c>
      <c r="X13" s="23"/>
      <c r="Y13" s="57" t="str">
        <f t="shared" si="12"/>
        <v/>
      </c>
      <c r="Z13" t="str">
        <f t="shared" si="13"/>
        <v/>
      </c>
      <c r="AA13" t="str">
        <f t="shared" si="14"/>
        <v/>
      </c>
      <c r="AB13" t="str">
        <f t="shared" si="15"/>
        <v/>
      </c>
      <c r="AC13" t="str">
        <f t="shared" si="16"/>
        <v/>
      </c>
      <c r="AD13" t="str">
        <f t="shared" si="17"/>
        <v/>
      </c>
      <c r="AE13" t="str">
        <f t="shared" si="18"/>
        <v/>
      </c>
      <c r="AF13" t="str">
        <f t="shared" si="19"/>
        <v/>
      </c>
      <c r="AG13" t="str">
        <f t="shared" si="20"/>
        <v/>
      </c>
      <c r="AH13" t="str">
        <f t="shared" si="21"/>
        <v/>
      </c>
      <c r="AI13" t="str">
        <f t="shared" si="22"/>
        <v/>
      </c>
      <c r="AJ13" t="str">
        <f t="shared" si="23"/>
        <v/>
      </c>
      <c r="AK13" t="str">
        <f t="shared" si="24"/>
        <v/>
      </c>
      <c r="AL13" t="str">
        <f t="shared" si="25"/>
        <v/>
      </c>
      <c r="AM13" t="str">
        <f t="shared" si="26"/>
        <v/>
      </c>
      <c r="AN13" t="str">
        <f t="shared" si="27"/>
        <v/>
      </c>
      <c r="AO13" t="str">
        <f t="shared" si="27"/>
        <v/>
      </c>
      <c r="AQ13" s="41">
        <v>2</v>
      </c>
      <c r="AR13" s="36">
        <f>Tabulka135[[#This Row],[Race no.]]</f>
        <v>6</v>
      </c>
      <c r="AS13" s="42" t="str">
        <f>Tabulka135[[#This Row],[Surname and name]]</f>
        <v>Arnošt DRCMÁNEK</v>
      </c>
      <c r="AT13" s="40" t="str">
        <f>Tabulka135[[#This Row],[Team]]</f>
        <v>TUFO PARDUS Prostějov z.s.</v>
      </c>
      <c r="AU13" s="40">
        <f>Tabulka135[[#This Row],[UCI ID]]</f>
        <v>10120198138</v>
      </c>
      <c r="AV13" s="36" t="e">
        <f>#REF!</f>
        <v>#REF!</v>
      </c>
      <c r="AW13" s="36" t="e">
        <f>#REF!</f>
        <v>#REF!</v>
      </c>
      <c r="AX13">
        <f>Tabulka135[[#This Row],[Body_bod]]</f>
        <v>0</v>
      </c>
    </row>
    <row r="14" spans="1:50" ht="15" customHeight="1">
      <c r="A14" s="14">
        <f>RANK(Tabulka135[[#This Row],[Body_bod]],Tabulka135[Body_bod],0)</f>
        <v>1</v>
      </c>
      <c r="B14" s="44">
        <v>18</v>
      </c>
      <c r="C14" s="15">
        <v>10046082155</v>
      </c>
      <c r="D14" s="16" t="s">
        <v>363</v>
      </c>
      <c r="E14" s="17" t="s">
        <v>247</v>
      </c>
      <c r="F14" s="18" t="s">
        <v>345</v>
      </c>
      <c r="G14" s="49">
        <f>IFERROR(VLOOKUP(Tabulka135[[#This Row],[Race no.]],Vylučovačka!D:E,2,FALSE),"x")</f>
        <v>3</v>
      </c>
      <c r="H14" s="20">
        <f>IFERROR(VLOOKUP(G14,List1!B:C,2,FALSE),0)</f>
        <v>36</v>
      </c>
      <c r="I14" s="22">
        <f t="shared" si="0"/>
        <v>0</v>
      </c>
      <c r="J14" s="50">
        <f>IFERROR(VLOOKUP(Tabulka135[[#This Row],[Race no.]],Bodovacka!D:E,2,FALSE),"x")</f>
        <v>21</v>
      </c>
      <c r="K14" s="22">
        <f t="shared" si="1"/>
        <v>0</v>
      </c>
      <c r="L14" s="23" t="str">
        <f t="shared" si="2"/>
        <v/>
      </c>
      <c r="M14" s="23" t="str">
        <f t="shared" si="3"/>
        <v/>
      </c>
      <c r="N14" s="23" t="str">
        <f t="shared" si="4"/>
        <v/>
      </c>
      <c r="O14" s="23" t="str">
        <f t="shared" si="5"/>
        <v/>
      </c>
      <c r="P14" s="23" t="str">
        <f t="shared" si="6"/>
        <v/>
      </c>
      <c r="Q14" s="23" t="str">
        <f t="shared" si="7"/>
        <v/>
      </c>
      <c r="R14" s="23" t="str">
        <f t="shared" si="8"/>
        <v/>
      </c>
      <c r="S14" s="23" t="str">
        <f t="shared" si="9"/>
        <v/>
      </c>
      <c r="T14" s="23" t="str">
        <f t="shared" si="10"/>
        <v/>
      </c>
      <c r="U14" s="23" t="str">
        <f t="shared" si="10"/>
        <v/>
      </c>
      <c r="V14" s="23" t="str">
        <f t="shared" si="10"/>
        <v/>
      </c>
      <c r="W14" s="23" t="str">
        <f t="shared" si="11"/>
        <v/>
      </c>
      <c r="X14" s="23"/>
      <c r="Y14" s="57" t="str">
        <f t="shared" si="12"/>
        <v/>
      </c>
      <c r="Z14" t="str">
        <f t="shared" si="13"/>
        <v/>
      </c>
      <c r="AA14" t="str">
        <f t="shared" si="14"/>
        <v/>
      </c>
      <c r="AB14" t="str">
        <f t="shared" si="15"/>
        <v/>
      </c>
      <c r="AC14" t="str">
        <f t="shared" si="16"/>
        <v/>
      </c>
      <c r="AD14" t="str">
        <f t="shared" si="17"/>
        <v/>
      </c>
      <c r="AE14" t="str">
        <f t="shared" si="18"/>
        <v/>
      </c>
      <c r="AF14" t="str">
        <f t="shared" si="19"/>
        <v/>
      </c>
      <c r="AG14" t="str">
        <f t="shared" si="20"/>
        <v/>
      </c>
      <c r="AH14" t="str">
        <f t="shared" si="21"/>
        <v/>
      </c>
      <c r="AI14" t="str">
        <f t="shared" si="22"/>
        <v/>
      </c>
      <c r="AJ14" t="str">
        <f t="shared" si="23"/>
        <v/>
      </c>
      <c r="AK14" t="str">
        <f t="shared" si="24"/>
        <v/>
      </c>
      <c r="AL14" t="str">
        <f t="shared" si="25"/>
        <v/>
      </c>
      <c r="AM14" t="str">
        <f t="shared" si="26"/>
        <v/>
      </c>
      <c r="AN14" t="str">
        <f t="shared" si="27"/>
        <v/>
      </c>
      <c r="AO14" t="str">
        <f t="shared" si="27"/>
        <v/>
      </c>
      <c r="AQ14" s="41">
        <v>3</v>
      </c>
      <c r="AR14" s="36">
        <f>Tabulka135[[#This Row],[Race no.]]</f>
        <v>18</v>
      </c>
      <c r="AS14" s="42" t="str">
        <f>Tabulka135[[#This Row],[Surname and name]]</f>
        <v>Matúš NAGY</v>
      </c>
      <c r="AT14" s="40" t="str">
        <f>Tabulka135[[#This Row],[Team]]</f>
        <v>CK Olympik Trnava</v>
      </c>
      <c r="AU14" s="40">
        <f>Tabulka135[[#This Row],[UCI ID]]</f>
        <v>10046082155</v>
      </c>
      <c r="AV14" s="36" t="e">
        <f>#REF!</f>
        <v>#REF!</v>
      </c>
      <c r="AW14" s="36" t="e">
        <f>#REF!</f>
        <v>#REF!</v>
      </c>
      <c r="AX14">
        <f>Tabulka135[[#This Row],[Body_bod]]</f>
        <v>0</v>
      </c>
    </row>
    <row r="15" spans="1:50" ht="15" customHeight="1">
      <c r="A15" s="14">
        <f>RANK(Tabulka135[[#This Row],[Body_bod]],Tabulka135[Body_bod],0)</f>
        <v>1</v>
      </c>
      <c r="B15" s="44">
        <v>9</v>
      </c>
      <c r="C15" s="15">
        <v>10128197204</v>
      </c>
      <c r="D15" s="16" t="s">
        <v>352</v>
      </c>
      <c r="E15" s="17" t="s">
        <v>351</v>
      </c>
      <c r="F15" s="18" t="s">
        <v>345</v>
      </c>
      <c r="G15" s="49">
        <f>IFERROR(VLOOKUP(Tabulka135[[#This Row],[Race no.]],Vylučovačka!D:E,2,FALSE),"x")</f>
        <v>4</v>
      </c>
      <c r="H15" s="20">
        <f>IFERROR(VLOOKUP(G15,List1!B:C,2,FALSE),0)</f>
        <v>34</v>
      </c>
      <c r="I15" s="22">
        <f t="shared" si="0"/>
        <v>0</v>
      </c>
      <c r="J15" s="50">
        <f>IFERROR(VLOOKUP(Tabulka135[[#This Row],[Race no.]],Bodovacka!D:E,2,FALSE),"x")</f>
        <v>12</v>
      </c>
      <c r="K15" s="22">
        <f t="shared" si="1"/>
        <v>0</v>
      </c>
      <c r="L15" s="23" t="str">
        <f t="shared" si="2"/>
        <v/>
      </c>
      <c r="M15" s="23" t="str">
        <f t="shared" si="3"/>
        <v/>
      </c>
      <c r="N15" s="23" t="str">
        <f t="shared" si="4"/>
        <v/>
      </c>
      <c r="O15" s="23" t="str">
        <f t="shared" si="5"/>
        <v/>
      </c>
      <c r="P15" s="23" t="str">
        <f t="shared" si="6"/>
        <v/>
      </c>
      <c r="Q15" s="23" t="str">
        <f t="shared" si="7"/>
        <v/>
      </c>
      <c r="R15" s="23" t="str">
        <f t="shared" si="8"/>
        <v/>
      </c>
      <c r="S15" s="23" t="str">
        <f t="shared" si="9"/>
        <v/>
      </c>
      <c r="T15" s="23" t="str">
        <f t="shared" si="10"/>
        <v/>
      </c>
      <c r="U15" s="23" t="str">
        <f t="shared" si="10"/>
        <v/>
      </c>
      <c r="V15" s="23" t="str">
        <f t="shared" si="10"/>
        <v/>
      </c>
      <c r="W15" s="23" t="str">
        <f t="shared" si="11"/>
        <v/>
      </c>
      <c r="X15" s="23"/>
      <c r="Y15" s="57" t="str">
        <f t="shared" si="12"/>
        <v/>
      </c>
      <c r="Z15" t="str">
        <f t="shared" si="13"/>
        <v/>
      </c>
      <c r="AA15" t="str">
        <f t="shared" si="14"/>
        <v/>
      </c>
      <c r="AB15" t="str">
        <f t="shared" si="15"/>
        <v/>
      </c>
      <c r="AC15" t="str">
        <f t="shared" si="16"/>
        <v/>
      </c>
      <c r="AD15" t="str">
        <f t="shared" si="17"/>
        <v/>
      </c>
      <c r="AE15" t="str">
        <f t="shared" si="18"/>
        <v/>
      </c>
      <c r="AF15" t="str">
        <f t="shared" si="19"/>
        <v/>
      </c>
      <c r="AG15" t="str">
        <f t="shared" si="20"/>
        <v/>
      </c>
      <c r="AH15" t="str">
        <f t="shared" si="21"/>
        <v/>
      </c>
      <c r="AI15" t="str">
        <f t="shared" si="22"/>
        <v/>
      </c>
      <c r="AJ15" t="str">
        <f t="shared" si="23"/>
        <v/>
      </c>
      <c r="AK15" t="str">
        <f t="shared" si="24"/>
        <v/>
      </c>
      <c r="AL15" s="56" t="str">
        <f t="shared" si="25"/>
        <v/>
      </c>
      <c r="AM15" t="str">
        <f t="shared" si="26"/>
        <v/>
      </c>
      <c r="AN15" t="str">
        <f t="shared" si="27"/>
        <v/>
      </c>
      <c r="AO15" t="str">
        <f t="shared" si="27"/>
        <v/>
      </c>
      <c r="AQ15" s="41">
        <v>4</v>
      </c>
      <c r="AR15" s="36">
        <f>Tabulka135[[#This Row],[Race no.]]</f>
        <v>9</v>
      </c>
      <c r="AS15" s="42" t="str">
        <f>Tabulka135[[#This Row],[Surname and name]]</f>
        <v>Tobiáš KELBL</v>
      </c>
      <c r="AT15" s="40" t="str">
        <f>Tabulka135[[#This Row],[Team]]</f>
        <v>TJ FAVORIT BRNO</v>
      </c>
      <c r="AU15" s="40">
        <f>Tabulka135[[#This Row],[UCI ID]]</f>
        <v>10128197204</v>
      </c>
      <c r="AV15" s="36" t="e">
        <f>#REF!</f>
        <v>#REF!</v>
      </c>
      <c r="AW15" s="36" t="e">
        <f>#REF!</f>
        <v>#REF!</v>
      </c>
      <c r="AX15">
        <f>Tabulka135[[#This Row],[Body_bod]]</f>
        <v>0</v>
      </c>
    </row>
    <row r="16" spans="1:50" ht="15" customHeight="1">
      <c r="A16" s="14">
        <f>RANK(Tabulka135[[#This Row],[Body_bod]],Tabulka135[Body_bod],0)</f>
        <v>1</v>
      </c>
      <c r="B16" s="44">
        <v>27</v>
      </c>
      <c r="C16" s="15">
        <v>10110735584</v>
      </c>
      <c r="D16" s="16" t="s">
        <v>373</v>
      </c>
      <c r="E16" s="17" t="s">
        <v>374</v>
      </c>
      <c r="F16" s="18" t="s">
        <v>345</v>
      </c>
      <c r="G16" s="49">
        <f>IFERROR(VLOOKUP(Tabulka135[[#This Row],[Race no.]],Vylučovačka!D:E,2,FALSE),"x")</f>
        <v>5</v>
      </c>
      <c r="H16" s="20">
        <f>IFERROR(VLOOKUP(G16,List1!B:C,2,FALSE),0)</f>
        <v>32</v>
      </c>
      <c r="I16" s="22">
        <f t="shared" si="0"/>
        <v>0</v>
      </c>
      <c r="J16" s="50">
        <f>IFERROR(VLOOKUP(Tabulka135[[#This Row],[Race no.]],Bodovacka!D:E,2,FALSE),"x")</f>
        <v>2</v>
      </c>
      <c r="K16" s="22">
        <f t="shared" si="1"/>
        <v>0</v>
      </c>
      <c r="L16" s="23" t="str">
        <f t="shared" si="2"/>
        <v/>
      </c>
      <c r="M16" s="23" t="str">
        <f t="shared" si="3"/>
        <v/>
      </c>
      <c r="N16" s="23" t="str">
        <f t="shared" si="4"/>
        <v/>
      </c>
      <c r="O16" s="23" t="str">
        <f t="shared" si="5"/>
        <v/>
      </c>
      <c r="P16" s="23" t="str">
        <f t="shared" si="6"/>
        <v/>
      </c>
      <c r="Q16" s="23" t="str">
        <f t="shared" si="7"/>
        <v/>
      </c>
      <c r="R16" s="23" t="str">
        <f t="shared" si="8"/>
        <v/>
      </c>
      <c r="S16" s="23" t="str">
        <f t="shared" si="9"/>
        <v/>
      </c>
      <c r="T16" s="23" t="str">
        <f t="shared" si="10"/>
        <v/>
      </c>
      <c r="U16" s="23" t="str">
        <f t="shared" si="10"/>
        <v/>
      </c>
      <c r="V16" s="23" t="str">
        <f t="shared" si="10"/>
        <v/>
      </c>
      <c r="W16" s="23" t="str">
        <f t="shared" si="11"/>
        <v/>
      </c>
      <c r="X16" s="23"/>
      <c r="Y16" s="57" t="str">
        <f t="shared" si="12"/>
        <v/>
      </c>
      <c r="Z16" t="str">
        <f t="shared" si="13"/>
        <v/>
      </c>
      <c r="AA16" t="str">
        <f t="shared" si="14"/>
        <v/>
      </c>
      <c r="AB16" t="str">
        <f t="shared" si="15"/>
        <v/>
      </c>
      <c r="AC16" t="str">
        <f t="shared" si="16"/>
        <v/>
      </c>
      <c r="AD16" t="str">
        <f t="shared" si="17"/>
        <v/>
      </c>
      <c r="AE16" t="str">
        <f t="shared" si="18"/>
        <v/>
      </c>
      <c r="AF16" t="str">
        <f t="shared" si="19"/>
        <v/>
      </c>
      <c r="AG16" t="str">
        <f t="shared" si="20"/>
        <v/>
      </c>
      <c r="AH16" t="str">
        <f t="shared" si="21"/>
        <v/>
      </c>
      <c r="AI16" t="str">
        <f t="shared" si="22"/>
        <v/>
      </c>
      <c r="AJ16" t="str">
        <f t="shared" si="23"/>
        <v/>
      </c>
      <c r="AK16" t="str">
        <f t="shared" si="24"/>
        <v/>
      </c>
      <c r="AL16" t="str">
        <f t="shared" si="25"/>
        <v/>
      </c>
      <c r="AM16" t="str">
        <f t="shared" si="26"/>
        <v/>
      </c>
      <c r="AN16" t="str">
        <f t="shared" si="27"/>
        <v/>
      </c>
      <c r="AO16" t="str">
        <f t="shared" si="27"/>
        <v/>
      </c>
      <c r="AQ16" s="41">
        <v>5</v>
      </c>
      <c r="AR16" s="36">
        <f>Tabulka135[[#This Row],[Race no.]]</f>
        <v>27</v>
      </c>
      <c r="AS16" s="42" t="str">
        <f>Tabulka135[[#This Row],[Surname and name]]</f>
        <v>Marc HIERSCHLAGER</v>
      </c>
      <c r="AT16" s="40" t="str">
        <f>Tabulka135[[#This Row],[Team]]</f>
        <v>RC Arbo Auto Eder Walding</v>
      </c>
      <c r="AU16" s="40">
        <f>Tabulka135[[#This Row],[UCI ID]]</f>
        <v>10110735584</v>
      </c>
      <c r="AV16" s="36" t="e">
        <f>#REF!</f>
        <v>#REF!</v>
      </c>
      <c r="AW16" s="36" t="e">
        <f>#REF!</f>
        <v>#REF!</v>
      </c>
      <c r="AX16">
        <f>Tabulka135[[#This Row],[Body_bod]]</f>
        <v>0</v>
      </c>
    </row>
    <row r="17" spans="1:50" ht="15.75">
      <c r="A17" s="14">
        <f>RANK(Tabulka135[[#This Row],[Body_bod]],Tabulka135[Body_bod],0)</f>
        <v>1</v>
      </c>
      <c r="B17" s="44">
        <v>12</v>
      </c>
      <c r="C17" s="15">
        <v>10106248831</v>
      </c>
      <c r="D17" s="16" t="s">
        <v>356</v>
      </c>
      <c r="E17" s="17" t="s">
        <v>355</v>
      </c>
      <c r="F17" s="18" t="s">
        <v>345</v>
      </c>
      <c r="G17" s="49">
        <f>IFERROR(VLOOKUP(Tabulka135[[#This Row],[Race no.]],Vylučovačka!D:E,2,FALSE),"x")</f>
        <v>6</v>
      </c>
      <c r="H17" s="20">
        <f>IFERROR(VLOOKUP(G17,List1!B:C,2,FALSE),0)</f>
        <v>30</v>
      </c>
      <c r="I17" s="22">
        <f t="shared" si="0"/>
        <v>0</v>
      </c>
      <c r="J17" s="50">
        <f>IFERROR(VLOOKUP(Tabulka135[[#This Row],[Race no.]],Bodovacka!D:E,2,FALSE),"x")</f>
        <v>3</v>
      </c>
      <c r="K17" s="22">
        <f t="shared" si="1"/>
        <v>0</v>
      </c>
      <c r="L17" s="23" t="str">
        <f t="shared" si="2"/>
        <v/>
      </c>
      <c r="M17" s="23" t="str">
        <f t="shared" si="3"/>
        <v/>
      </c>
      <c r="N17" s="23" t="str">
        <f t="shared" si="4"/>
        <v/>
      </c>
      <c r="O17" s="23" t="str">
        <f t="shared" si="5"/>
        <v/>
      </c>
      <c r="P17" s="23" t="str">
        <f t="shared" si="6"/>
        <v/>
      </c>
      <c r="Q17" s="23" t="str">
        <f t="shared" si="7"/>
        <v/>
      </c>
      <c r="R17" s="23" t="str">
        <f t="shared" si="8"/>
        <v/>
      </c>
      <c r="S17" s="23" t="str">
        <f t="shared" si="9"/>
        <v/>
      </c>
      <c r="T17" s="23" t="str">
        <f t="shared" si="10"/>
        <v/>
      </c>
      <c r="U17" s="23" t="str">
        <f t="shared" si="10"/>
        <v/>
      </c>
      <c r="V17" s="23" t="str">
        <f t="shared" si="10"/>
        <v/>
      </c>
      <c r="W17" s="23" t="str">
        <f t="shared" si="11"/>
        <v/>
      </c>
      <c r="X17" s="23"/>
      <c r="Y17" s="57" t="str">
        <f t="shared" si="12"/>
        <v/>
      </c>
      <c r="Z17" t="str">
        <f t="shared" si="13"/>
        <v/>
      </c>
      <c r="AA17" t="str">
        <f t="shared" si="14"/>
        <v/>
      </c>
      <c r="AB17" t="str">
        <f t="shared" si="15"/>
        <v/>
      </c>
      <c r="AC17" t="str">
        <f t="shared" si="16"/>
        <v/>
      </c>
      <c r="AD17" t="str">
        <f t="shared" si="17"/>
        <v/>
      </c>
      <c r="AE17" t="str">
        <f t="shared" si="18"/>
        <v/>
      </c>
      <c r="AF17" t="str">
        <f t="shared" si="19"/>
        <v/>
      </c>
      <c r="AG17" t="str">
        <f t="shared" si="20"/>
        <v/>
      </c>
      <c r="AH17" t="str">
        <f t="shared" si="21"/>
        <v/>
      </c>
      <c r="AI17" t="str">
        <f t="shared" si="22"/>
        <v/>
      </c>
      <c r="AJ17" t="str">
        <f t="shared" si="23"/>
        <v/>
      </c>
      <c r="AK17" t="str">
        <f t="shared" si="24"/>
        <v/>
      </c>
      <c r="AL17" t="str">
        <f t="shared" si="25"/>
        <v/>
      </c>
      <c r="AM17" t="str">
        <f t="shared" si="26"/>
        <v/>
      </c>
      <c r="AN17" t="str">
        <f t="shared" si="27"/>
        <v/>
      </c>
      <c r="AO17" t="str">
        <f t="shared" si="27"/>
        <v/>
      </c>
      <c r="AQ17" s="41">
        <v>6</v>
      </c>
      <c r="AR17" s="36">
        <f>Tabulka135[[#This Row],[Race no.]]</f>
        <v>12</v>
      </c>
      <c r="AS17" s="42" t="str">
        <f>Tabulka135[[#This Row],[Surname and name]]</f>
        <v>Marek PŠENKA</v>
      </c>
      <c r="AT17" s="40" t="str">
        <f>Tabulka135[[#This Row],[Team]]</f>
        <v>CK Epic Dohňany</v>
      </c>
      <c r="AU17" s="40">
        <f>Tabulka135[[#This Row],[UCI ID]]</f>
        <v>10106248831</v>
      </c>
      <c r="AV17" s="36" t="e">
        <f>#REF!</f>
        <v>#REF!</v>
      </c>
      <c r="AW17" s="36" t="e">
        <f>#REF!</f>
        <v>#REF!</v>
      </c>
      <c r="AX17">
        <f>Tabulka135[[#This Row],[Body_bod]]</f>
        <v>0</v>
      </c>
    </row>
    <row r="18" spans="1:50" ht="15.75">
      <c r="A18" s="14">
        <f>RANK(Tabulka135[[#This Row],[Body_bod]],Tabulka135[Body_bod],0)</f>
        <v>1</v>
      </c>
      <c r="B18" s="44">
        <v>28</v>
      </c>
      <c r="C18" s="15">
        <v>10120021922</v>
      </c>
      <c r="D18" s="16" t="s">
        <v>375</v>
      </c>
      <c r="E18" s="17" t="s">
        <v>376</v>
      </c>
      <c r="F18" s="18" t="s">
        <v>345</v>
      </c>
      <c r="G18" s="49">
        <f>IFERROR(VLOOKUP(Tabulka135[[#This Row],[Race no.]],Vylučovačka!D:E,2,FALSE),"x")</f>
        <v>7</v>
      </c>
      <c r="H18" s="20">
        <f>IFERROR(VLOOKUP(G18,List1!B:C,2,FALSE),0)</f>
        <v>28</v>
      </c>
      <c r="I18" s="22">
        <f t="shared" si="0"/>
        <v>0</v>
      </c>
      <c r="J18" s="50">
        <f>IFERROR(VLOOKUP(Tabulka135[[#This Row],[Race no.]],Bodovacka!D:E,2,FALSE),"x")</f>
        <v>22</v>
      </c>
      <c r="K18" s="22">
        <f t="shared" si="1"/>
        <v>0</v>
      </c>
      <c r="L18" s="23" t="str">
        <f t="shared" si="2"/>
        <v/>
      </c>
      <c r="M18" s="23" t="str">
        <f t="shared" si="3"/>
        <v/>
      </c>
      <c r="N18" s="23" t="str">
        <f t="shared" si="4"/>
        <v/>
      </c>
      <c r="O18" s="23" t="str">
        <f t="shared" si="5"/>
        <v/>
      </c>
      <c r="P18" s="23" t="str">
        <f t="shared" si="6"/>
        <v/>
      </c>
      <c r="Q18" s="23" t="str">
        <f t="shared" si="7"/>
        <v/>
      </c>
      <c r="R18" s="23" t="str">
        <f t="shared" si="8"/>
        <v/>
      </c>
      <c r="S18" s="23" t="str">
        <f t="shared" si="9"/>
        <v/>
      </c>
      <c r="T18" s="23" t="str">
        <f t="shared" si="10"/>
        <v/>
      </c>
      <c r="U18" s="23" t="str">
        <f t="shared" si="10"/>
        <v/>
      </c>
      <c r="V18" s="23" t="str">
        <f t="shared" si="10"/>
        <v/>
      </c>
      <c r="W18" s="23" t="str">
        <f t="shared" si="11"/>
        <v/>
      </c>
      <c r="X18" s="23"/>
      <c r="Y18" s="57" t="str">
        <f t="shared" si="12"/>
        <v/>
      </c>
      <c r="Z18" t="str">
        <f t="shared" si="13"/>
        <v/>
      </c>
      <c r="AA18" t="str">
        <f t="shared" si="14"/>
        <v/>
      </c>
      <c r="AB18" t="str">
        <f t="shared" si="15"/>
        <v/>
      </c>
      <c r="AC18" t="str">
        <f t="shared" si="16"/>
        <v/>
      </c>
      <c r="AD18" t="str">
        <f t="shared" si="17"/>
        <v/>
      </c>
      <c r="AE18" t="str">
        <f t="shared" si="18"/>
        <v/>
      </c>
      <c r="AF18" t="str">
        <f t="shared" si="19"/>
        <v/>
      </c>
      <c r="AG18" t="str">
        <f t="shared" si="20"/>
        <v/>
      </c>
      <c r="AH18" t="str">
        <f t="shared" si="21"/>
        <v/>
      </c>
      <c r="AI18" t="str">
        <f t="shared" si="22"/>
        <v/>
      </c>
      <c r="AJ18" t="str">
        <f t="shared" si="23"/>
        <v/>
      </c>
      <c r="AK18" t="str">
        <f t="shared" si="24"/>
        <v/>
      </c>
      <c r="AL18" t="str">
        <f t="shared" si="25"/>
        <v/>
      </c>
      <c r="AM18" t="str">
        <f t="shared" si="26"/>
        <v/>
      </c>
      <c r="AN18" t="str">
        <f t="shared" si="27"/>
        <v/>
      </c>
      <c r="AO18" t="str">
        <f t="shared" si="27"/>
        <v/>
      </c>
      <c r="AQ18" s="41">
        <v>7</v>
      </c>
      <c r="AR18" s="36">
        <f>Tabulka135[[#This Row],[Race no.]]</f>
        <v>28</v>
      </c>
      <c r="AS18" s="42" t="str">
        <f>Tabulka135[[#This Row],[Surname and name]]</f>
        <v>Matheo ZAMBELLI</v>
      </c>
      <c r="AT18" s="40" t="str">
        <f>Tabulka135[[#This Row],[Team]]</f>
        <v>RC Felbermayr Wels</v>
      </c>
      <c r="AU18" s="40">
        <f>Tabulka135[[#This Row],[UCI ID]]</f>
        <v>10120021922</v>
      </c>
      <c r="AV18" s="36" t="e">
        <f>#REF!</f>
        <v>#REF!</v>
      </c>
      <c r="AW18" s="36" t="e">
        <f>#REF!</f>
        <v>#REF!</v>
      </c>
      <c r="AX18">
        <f>Tabulka135[[#This Row],[Body_bod]]</f>
        <v>0</v>
      </c>
    </row>
    <row r="19" spans="1:50" ht="15.75">
      <c r="A19" s="14">
        <f>RANK(Tabulka135[[#This Row],[Body_bod]],Tabulka135[Body_bod],0)</f>
        <v>1</v>
      </c>
      <c r="B19" s="44">
        <v>8</v>
      </c>
      <c r="C19" s="15">
        <v>10128197406</v>
      </c>
      <c r="D19" s="16" t="s">
        <v>350</v>
      </c>
      <c r="E19" s="17" t="s">
        <v>351</v>
      </c>
      <c r="F19" s="18" t="s">
        <v>345</v>
      </c>
      <c r="G19" s="49">
        <f>IFERROR(VLOOKUP(Tabulka135[[#This Row],[Race no.]],Vylučovačka!D:E,2,FALSE),"x")</f>
        <v>8</v>
      </c>
      <c r="H19" s="20">
        <f>IFERROR(VLOOKUP(G19,List1!B:C,2,FALSE),0)</f>
        <v>26</v>
      </c>
      <c r="I19" s="22">
        <f t="shared" si="0"/>
        <v>0</v>
      </c>
      <c r="J19" s="50">
        <f>IFERROR(VLOOKUP(Tabulka135[[#This Row],[Race no.]],Bodovacka!D:E,2,FALSE),"x")</f>
        <v>13</v>
      </c>
      <c r="K19" s="22">
        <f t="shared" si="1"/>
        <v>0</v>
      </c>
      <c r="L19" s="23" t="str">
        <f t="shared" si="2"/>
        <v/>
      </c>
      <c r="M19" s="23" t="str">
        <f t="shared" si="3"/>
        <v/>
      </c>
      <c r="N19" s="23" t="str">
        <f t="shared" si="4"/>
        <v/>
      </c>
      <c r="O19" s="23" t="str">
        <f t="shared" si="5"/>
        <v/>
      </c>
      <c r="P19" s="23" t="str">
        <f t="shared" si="6"/>
        <v/>
      </c>
      <c r="Q19" s="23" t="str">
        <f t="shared" si="7"/>
        <v/>
      </c>
      <c r="R19" s="23" t="str">
        <f t="shared" si="8"/>
        <v/>
      </c>
      <c r="S19" s="23" t="str">
        <f t="shared" si="9"/>
        <v/>
      </c>
      <c r="T19" s="23" t="str">
        <f t="shared" si="10"/>
        <v/>
      </c>
      <c r="U19" s="23" t="str">
        <f t="shared" si="10"/>
        <v/>
      </c>
      <c r="V19" s="23" t="str">
        <f t="shared" si="10"/>
        <v/>
      </c>
      <c r="W19" s="23" t="str">
        <f t="shared" si="11"/>
        <v/>
      </c>
      <c r="X19" s="23"/>
      <c r="Y19" s="57" t="str">
        <f t="shared" si="12"/>
        <v/>
      </c>
      <c r="Z19" t="str">
        <f t="shared" si="13"/>
        <v/>
      </c>
      <c r="AA19" t="str">
        <f t="shared" si="14"/>
        <v/>
      </c>
      <c r="AB19" t="str">
        <f t="shared" si="15"/>
        <v/>
      </c>
      <c r="AC19" t="str">
        <f t="shared" si="16"/>
        <v/>
      </c>
      <c r="AD19" t="str">
        <f t="shared" si="17"/>
        <v/>
      </c>
      <c r="AE19" t="str">
        <f t="shared" si="18"/>
        <v/>
      </c>
      <c r="AF19" t="str">
        <f t="shared" si="19"/>
        <v/>
      </c>
      <c r="AG19" t="str">
        <f t="shared" si="20"/>
        <v/>
      </c>
      <c r="AH19" t="str">
        <f t="shared" si="21"/>
        <v/>
      </c>
      <c r="AI19" t="str">
        <f t="shared" si="22"/>
        <v/>
      </c>
      <c r="AJ19" t="str">
        <f t="shared" si="23"/>
        <v/>
      </c>
      <c r="AK19" t="str">
        <f t="shared" si="24"/>
        <v/>
      </c>
      <c r="AL19" t="str">
        <f t="shared" si="25"/>
        <v/>
      </c>
      <c r="AM19" t="str">
        <f t="shared" si="26"/>
        <v/>
      </c>
      <c r="AN19" t="str">
        <f t="shared" si="27"/>
        <v/>
      </c>
      <c r="AO19" t="str">
        <f t="shared" si="27"/>
        <v/>
      </c>
      <c r="AQ19" s="41">
        <v>8</v>
      </c>
      <c r="AR19" s="36">
        <f>Tabulka135[[#This Row],[Race no.]]</f>
        <v>8</v>
      </c>
      <c r="AS19" s="42" t="str">
        <f>Tabulka135[[#This Row],[Surname and name]]</f>
        <v>Jakub SKLÁŘ</v>
      </c>
      <c r="AT19" s="40" t="str">
        <f>Tabulka135[[#This Row],[Team]]</f>
        <v>TJ FAVORIT BRNO</v>
      </c>
      <c r="AU19" s="40">
        <f>Tabulka135[[#This Row],[UCI ID]]</f>
        <v>10128197406</v>
      </c>
      <c r="AV19" s="36" t="e">
        <f>#REF!</f>
        <v>#REF!</v>
      </c>
      <c r="AW19" s="36" t="e">
        <f>#REF!</f>
        <v>#REF!</v>
      </c>
      <c r="AX19">
        <f>Tabulka135[[#This Row],[Body_bod]]</f>
        <v>0</v>
      </c>
    </row>
    <row r="20" spans="1:50" ht="15.75">
      <c r="A20" s="14">
        <f>RANK(Tabulka135[[#This Row],[Body_bod]],Tabulka135[Body_bod],0)</f>
        <v>1</v>
      </c>
      <c r="B20" s="44">
        <v>15</v>
      </c>
      <c r="C20" s="15">
        <v>10114281542</v>
      </c>
      <c r="D20" s="16" t="s">
        <v>360</v>
      </c>
      <c r="E20" s="17" t="s">
        <v>359</v>
      </c>
      <c r="F20" s="18" t="s">
        <v>345</v>
      </c>
      <c r="G20" s="49">
        <f>IFERROR(VLOOKUP(Tabulka135[[#This Row],[Race no.]],Vylučovačka!D:E,2,FALSE),"x")</f>
        <v>9</v>
      </c>
      <c r="H20" s="20">
        <f>IFERROR(VLOOKUP(G20,List1!B:C,2,FALSE),0)</f>
        <v>24</v>
      </c>
      <c r="I20" s="22">
        <f t="shared" si="0"/>
        <v>0</v>
      </c>
      <c r="J20" s="50">
        <f>IFERROR(VLOOKUP(Tabulka135[[#This Row],[Race no.]],Bodovacka!D:E,2,FALSE),"x")</f>
        <v>10</v>
      </c>
      <c r="K20" s="22">
        <f t="shared" si="1"/>
        <v>0</v>
      </c>
      <c r="L20" s="23" t="str">
        <f t="shared" si="2"/>
        <v/>
      </c>
      <c r="M20" s="23" t="str">
        <f t="shared" si="3"/>
        <v/>
      </c>
      <c r="N20" s="23" t="str">
        <f t="shared" si="4"/>
        <v/>
      </c>
      <c r="O20" s="23" t="str">
        <f t="shared" si="5"/>
        <v/>
      </c>
      <c r="P20" s="23" t="str">
        <f t="shared" si="6"/>
        <v/>
      </c>
      <c r="Q20" s="23" t="str">
        <f t="shared" si="7"/>
        <v/>
      </c>
      <c r="R20" s="23" t="str">
        <f t="shared" si="8"/>
        <v/>
      </c>
      <c r="S20" s="23" t="str">
        <f t="shared" si="9"/>
        <v/>
      </c>
      <c r="T20" s="23" t="str">
        <f t="shared" si="10"/>
        <v/>
      </c>
      <c r="U20" s="23" t="str">
        <f t="shared" si="10"/>
        <v/>
      </c>
      <c r="V20" s="23" t="str">
        <f t="shared" si="10"/>
        <v/>
      </c>
      <c r="W20" s="23" t="str">
        <f t="shared" si="11"/>
        <v/>
      </c>
      <c r="X20" s="23"/>
      <c r="Y20" s="57" t="str">
        <f t="shared" si="12"/>
        <v/>
      </c>
      <c r="Z20" t="str">
        <f t="shared" si="13"/>
        <v/>
      </c>
      <c r="AA20" t="str">
        <f t="shared" si="14"/>
        <v/>
      </c>
      <c r="AB20" t="str">
        <f t="shared" si="15"/>
        <v/>
      </c>
      <c r="AC20" t="str">
        <f t="shared" si="16"/>
        <v/>
      </c>
      <c r="AD20" t="str">
        <f t="shared" si="17"/>
        <v/>
      </c>
      <c r="AE20" t="str">
        <f t="shared" si="18"/>
        <v/>
      </c>
      <c r="AF20" t="str">
        <f t="shared" si="19"/>
        <v/>
      </c>
      <c r="AG20" t="str">
        <f t="shared" si="20"/>
        <v/>
      </c>
      <c r="AH20" t="str">
        <f t="shared" si="21"/>
        <v/>
      </c>
      <c r="AI20" t="str">
        <f t="shared" si="22"/>
        <v/>
      </c>
      <c r="AJ20" t="str">
        <f t="shared" si="23"/>
        <v/>
      </c>
      <c r="AK20" t="str">
        <f t="shared" si="24"/>
        <v/>
      </c>
      <c r="AL20" t="str">
        <f t="shared" si="25"/>
        <v/>
      </c>
      <c r="AM20" t="str">
        <f t="shared" si="26"/>
        <v/>
      </c>
      <c r="AN20" t="str">
        <f t="shared" si="27"/>
        <v/>
      </c>
      <c r="AO20" t="str">
        <f t="shared" si="27"/>
        <v/>
      </c>
      <c r="AQ20" s="41">
        <v>9</v>
      </c>
      <c r="AR20" s="36">
        <f>Tabulka135[[#This Row],[Race no.]]</f>
        <v>15</v>
      </c>
      <c r="AS20" s="42" t="str">
        <f>Tabulka135[[#This Row],[Surname and name]]</f>
        <v>Matej FIRÁK</v>
      </c>
      <c r="AT20" s="40" t="str">
        <f>Tabulka135[[#This Row],[Team]]</f>
        <v>CyS Akadémia Petera Sagana</v>
      </c>
      <c r="AU20" s="40">
        <f>Tabulka135[[#This Row],[UCI ID]]</f>
        <v>10114281542</v>
      </c>
      <c r="AV20" s="36" t="e">
        <f>#REF!</f>
        <v>#REF!</v>
      </c>
      <c r="AW20" s="36" t="e">
        <f>#REF!</f>
        <v>#REF!</v>
      </c>
      <c r="AX20">
        <f>Tabulka135[[#This Row],[Body_bod]]</f>
        <v>0</v>
      </c>
    </row>
    <row r="21" spans="1:50" ht="15.75">
      <c r="A21" s="14">
        <f>RANK(Tabulka135[[#This Row],[Body_bod]],Tabulka135[Body_bod],0)</f>
        <v>1</v>
      </c>
      <c r="B21" s="44">
        <v>17</v>
      </c>
      <c r="C21" s="15">
        <v>10107354934</v>
      </c>
      <c r="D21" s="16" t="s">
        <v>362</v>
      </c>
      <c r="E21" s="17" t="s">
        <v>359</v>
      </c>
      <c r="F21" s="18" t="s">
        <v>342</v>
      </c>
      <c r="G21" s="49">
        <f>IFERROR(VLOOKUP(Tabulka135[[#This Row],[Race no.]],Vylučovačka!D:E,2,FALSE),"x")</f>
        <v>10</v>
      </c>
      <c r="H21" s="20">
        <f>IFERROR(VLOOKUP(G21,List1!B:C,2,FALSE),0)</f>
        <v>22</v>
      </c>
      <c r="I21" s="22">
        <f t="shared" si="0"/>
        <v>0</v>
      </c>
      <c r="J21" s="50">
        <f>IFERROR(VLOOKUP(Tabulka135[[#This Row],[Race no.]],Bodovacka!D:E,2,FALSE),"x")</f>
        <v>7</v>
      </c>
      <c r="K21" s="22">
        <f t="shared" si="1"/>
        <v>0</v>
      </c>
      <c r="L21" s="23" t="str">
        <f t="shared" si="2"/>
        <v/>
      </c>
      <c r="M21" s="23" t="str">
        <f t="shared" si="3"/>
        <v/>
      </c>
      <c r="N21" s="23" t="str">
        <f t="shared" si="4"/>
        <v/>
      </c>
      <c r="O21" s="23" t="str">
        <f t="shared" si="5"/>
        <v/>
      </c>
      <c r="P21" s="23" t="str">
        <f t="shared" si="6"/>
        <v/>
      </c>
      <c r="Q21" s="23" t="str">
        <f t="shared" si="7"/>
        <v/>
      </c>
      <c r="R21" s="23" t="str">
        <f t="shared" si="8"/>
        <v/>
      </c>
      <c r="S21" s="23" t="str">
        <f t="shared" si="9"/>
        <v/>
      </c>
      <c r="T21" s="23" t="str">
        <f t="shared" si="10"/>
        <v/>
      </c>
      <c r="U21" s="23" t="str">
        <f t="shared" si="10"/>
        <v/>
      </c>
      <c r="V21" s="23" t="str">
        <f t="shared" si="10"/>
        <v/>
      </c>
      <c r="W21" s="23" t="str">
        <f t="shared" si="11"/>
        <v/>
      </c>
      <c r="X21" s="23"/>
      <c r="Y21" s="57" t="str">
        <f t="shared" si="12"/>
        <v/>
      </c>
      <c r="Z21" t="str">
        <f t="shared" si="13"/>
        <v/>
      </c>
      <c r="AA21" t="str">
        <f t="shared" si="14"/>
        <v/>
      </c>
      <c r="AB21" t="str">
        <f t="shared" si="15"/>
        <v/>
      </c>
      <c r="AC21" t="str">
        <f t="shared" si="16"/>
        <v/>
      </c>
      <c r="AD21" t="str">
        <f t="shared" si="17"/>
        <v/>
      </c>
      <c r="AE21" t="str">
        <f t="shared" si="18"/>
        <v/>
      </c>
      <c r="AF21" t="str">
        <f t="shared" si="19"/>
        <v/>
      </c>
      <c r="AG21" t="str">
        <f t="shared" si="20"/>
        <v/>
      </c>
      <c r="AH21" t="str">
        <f t="shared" si="21"/>
        <v/>
      </c>
      <c r="AI21" t="str">
        <f t="shared" si="22"/>
        <v/>
      </c>
      <c r="AJ21" t="str">
        <f t="shared" si="23"/>
        <v/>
      </c>
      <c r="AK21" t="str">
        <f t="shared" si="24"/>
        <v/>
      </c>
      <c r="AL21" t="str">
        <f t="shared" si="25"/>
        <v/>
      </c>
      <c r="AM21" t="str">
        <f t="shared" si="26"/>
        <v/>
      </c>
      <c r="AN21" t="str">
        <f t="shared" si="27"/>
        <v/>
      </c>
      <c r="AO21" t="str">
        <f t="shared" si="27"/>
        <v/>
      </c>
      <c r="AQ21" s="41">
        <v>10</v>
      </c>
      <c r="AR21" s="36">
        <f>Tabulka135[[#This Row],[Race no.]]</f>
        <v>17</v>
      </c>
      <c r="AS21" s="42" t="str">
        <f>Tabulka135[[#This Row],[Surname and name]]</f>
        <v>Matej GALOVIČ</v>
      </c>
      <c r="AT21" s="40" t="str">
        <f>Tabulka135[[#This Row],[Team]]</f>
        <v>CyS Akadémia Petera Sagana</v>
      </c>
      <c r="AU21" s="40">
        <f>Tabulka135[[#This Row],[UCI ID]]</f>
        <v>10107354934</v>
      </c>
      <c r="AV21" s="36" t="e">
        <f>#REF!</f>
        <v>#REF!</v>
      </c>
      <c r="AW21" s="36" t="e">
        <f>#REF!</f>
        <v>#REF!</v>
      </c>
      <c r="AX21">
        <f>Tabulka135[[#This Row],[Body_bod]]</f>
        <v>0</v>
      </c>
    </row>
    <row r="22" spans="1:50" ht="15.75">
      <c r="A22" s="14">
        <f>RANK(Tabulka135[[#This Row],[Body_bod]],Tabulka135[Body_bod],0)</f>
        <v>1</v>
      </c>
      <c r="B22" s="44">
        <v>11</v>
      </c>
      <c r="C22" s="15">
        <v>10046080943</v>
      </c>
      <c r="D22" s="16" t="s">
        <v>354</v>
      </c>
      <c r="E22" s="17" t="s">
        <v>355</v>
      </c>
      <c r="F22" s="18" t="s">
        <v>345</v>
      </c>
      <c r="G22" s="49">
        <f>IFERROR(VLOOKUP(Tabulka135[[#This Row],[Race no.]],Vylučovačka!D:E,2,FALSE),"x")</f>
        <v>11</v>
      </c>
      <c r="H22" s="20">
        <f>IFERROR(VLOOKUP(G22,List1!B:C,2,FALSE),0)</f>
        <v>20</v>
      </c>
      <c r="I22" s="22">
        <f t="shared" si="0"/>
        <v>0</v>
      </c>
      <c r="J22" s="50">
        <f>IFERROR(VLOOKUP(Tabulka135[[#This Row],[Race no.]],Bodovacka!D:E,2,FALSE),"x")</f>
        <v>5</v>
      </c>
      <c r="K22" s="22">
        <f t="shared" si="1"/>
        <v>0</v>
      </c>
      <c r="L22" s="23" t="str">
        <f t="shared" si="2"/>
        <v/>
      </c>
      <c r="M22" s="23" t="str">
        <f t="shared" si="3"/>
        <v/>
      </c>
      <c r="N22" s="23" t="str">
        <f t="shared" si="4"/>
        <v/>
      </c>
      <c r="O22" s="23" t="str">
        <f t="shared" si="5"/>
        <v/>
      </c>
      <c r="P22" s="23" t="str">
        <f t="shared" si="6"/>
        <v/>
      </c>
      <c r="Q22" s="23" t="str">
        <f t="shared" si="7"/>
        <v/>
      </c>
      <c r="R22" s="23" t="str">
        <f t="shared" si="8"/>
        <v/>
      </c>
      <c r="S22" s="23" t="str">
        <f t="shared" si="9"/>
        <v/>
      </c>
      <c r="T22" s="23" t="str">
        <f t="shared" si="10"/>
        <v/>
      </c>
      <c r="U22" s="23" t="str">
        <f t="shared" si="10"/>
        <v/>
      </c>
      <c r="V22" s="23" t="str">
        <f t="shared" si="10"/>
        <v/>
      </c>
      <c r="W22" s="23" t="str">
        <f t="shared" si="11"/>
        <v/>
      </c>
      <c r="X22" s="23"/>
      <c r="Y22" s="57" t="str">
        <f t="shared" si="12"/>
        <v/>
      </c>
      <c r="Z22" t="str">
        <f t="shared" si="13"/>
        <v/>
      </c>
      <c r="AA22" t="str">
        <f t="shared" si="14"/>
        <v/>
      </c>
      <c r="AB22" t="str">
        <f t="shared" si="15"/>
        <v/>
      </c>
      <c r="AC22" t="str">
        <f t="shared" si="16"/>
        <v/>
      </c>
      <c r="AD22" t="str">
        <f t="shared" si="17"/>
        <v/>
      </c>
      <c r="AE22" t="str">
        <f t="shared" si="18"/>
        <v/>
      </c>
      <c r="AF22" t="str">
        <f t="shared" si="19"/>
        <v/>
      </c>
      <c r="AG22" t="str">
        <f t="shared" si="20"/>
        <v/>
      </c>
      <c r="AH22" t="str">
        <f t="shared" si="21"/>
        <v/>
      </c>
      <c r="AI22" t="str">
        <f t="shared" si="22"/>
        <v/>
      </c>
      <c r="AJ22" t="str">
        <f t="shared" si="23"/>
        <v/>
      </c>
      <c r="AK22" t="str">
        <f t="shared" si="24"/>
        <v/>
      </c>
      <c r="AL22" t="str">
        <f t="shared" si="25"/>
        <v/>
      </c>
      <c r="AM22" t="str">
        <f t="shared" si="26"/>
        <v/>
      </c>
      <c r="AN22" t="str">
        <f t="shared" si="27"/>
        <v/>
      </c>
      <c r="AO22" t="str">
        <f t="shared" si="27"/>
        <v/>
      </c>
      <c r="AQ22" s="41">
        <v>11</v>
      </c>
      <c r="AR22" s="36">
        <f>Tabulka135[[#This Row],[Race no.]]</f>
        <v>11</v>
      </c>
      <c r="AS22" s="42" t="str">
        <f>Tabulka135[[#This Row],[Surname and name]]</f>
        <v>Matej RIŠKA</v>
      </c>
      <c r="AT22" s="40" t="str">
        <f>Tabulka135[[#This Row],[Team]]</f>
        <v>CK Epic Dohňany</v>
      </c>
      <c r="AU22" s="40">
        <f>Tabulka135[[#This Row],[UCI ID]]</f>
        <v>10046080943</v>
      </c>
      <c r="AV22" s="36" t="e">
        <f>#REF!</f>
        <v>#REF!</v>
      </c>
      <c r="AW22" s="36" t="e">
        <f>#REF!</f>
        <v>#REF!</v>
      </c>
      <c r="AX22">
        <f>Tabulka135[[#This Row],[Body_bod]]</f>
        <v>0</v>
      </c>
    </row>
    <row r="23" spans="1:50" ht="15.75">
      <c r="A23" s="14">
        <f>RANK(Tabulka135[[#This Row],[Body_bod]],Tabulka135[Body_bod],0)</f>
        <v>1</v>
      </c>
      <c r="B23" s="44">
        <v>26</v>
      </c>
      <c r="C23" s="15">
        <v>10105673194</v>
      </c>
      <c r="D23" s="16" t="s">
        <v>372</v>
      </c>
      <c r="E23" s="17" t="s">
        <v>366</v>
      </c>
      <c r="F23" s="18" t="s">
        <v>345</v>
      </c>
      <c r="G23" s="49">
        <f>IFERROR(VLOOKUP(Tabulka135[[#This Row],[Race no.]],Vylučovačka!D:E,2,FALSE),"x")</f>
        <v>12</v>
      </c>
      <c r="H23" s="20">
        <f>IFERROR(VLOOKUP(G23,List1!B:C,2,FALSE),0)</f>
        <v>18</v>
      </c>
      <c r="I23" s="22">
        <f t="shared" si="0"/>
        <v>0</v>
      </c>
      <c r="J23" s="50">
        <f>IFERROR(VLOOKUP(Tabulka135[[#This Row],[Race no.]],Bodovacka!D:E,2,FALSE),"x")</f>
        <v>4</v>
      </c>
      <c r="K23" s="22">
        <f t="shared" si="1"/>
        <v>0</v>
      </c>
      <c r="L23" s="23" t="str">
        <f t="shared" si="2"/>
        <v/>
      </c>
      <c r="M23" s="23" t="str">
        <f t="shared" si="3"/>
        <v/>
      </c>
      <c r="N23" s="23" t="str">
        <f t="shared" si="4"/>
        <v/>
      </c>
      <c r="O23" s="23" t="str">
        <f t="shared" si="5"/>
        <v/>
      </c>
      <c r="P23" s="23" t="str">
        <f t="shared" si="6"/>
        <v/>
      </c>
      <c r="Q23" s="23" t="str">
        <f t="shared" si="7"/>
        <v/>
      </c>
      <c r="R23" s="23" t="str">
        <f t="shared" si="8"/>
        <v/>
      </c>
      <c r="S23" s="23" t="str">
        <f t="shared" si="9"/>
        <v/>
      </c>
      <c r="T23" s="23" t="str">
        <f t="shared" si="10"/>
        <v/>
      </c>
      <c r="U23" s="23" t="str">
        <f t="shared" si="10"/>
        <v/>
      </c>
      <c r="V23" s="23" t="str">
        <f t="shared" si="10"/>
        <v/>
      </c>
      <c r="W23" s="23" t="str">
        <f t="shared" si="11"/>
        <v/>
      </c>
      <c r="X23" s="23"/>
      <c r="Y23" s="57" t="str">
        <f t="shared" si="12"/>
        <v/>
      </c>
      <c r="Z23" t="str">
        <f t="shared" si="13"/>
        <v/>
      </c>
      <c r="AA23" t="str">
        <f t="shared" si="14"/>
        <v/>
      </c>
      <c r="AB23" t="str">
        <f t="shared" si="15"/>
        <v/>
      </c>
      <c r="AC23" t="str">
        <f t="shared" si="16"/>
        <v/>
      </c>
      <c r="AD23" t="str">
        <f t="shared" si="17"/>
        <v/>
      </c>
      <c r="AE23" t="str">
        <f t="shared" si="18"/>
        <v/>
      </c>
      <c r="AF23" t="str">
        <f t="shared" si="19"/>
        <v/>
      </c>
      <c r="AG23" t="str">
        <f t="shared" si="20"/>
        <v/>
      </c>
      <c r="AH23" t="str">
        <f t="shared" si="21"/>
        <v/>
      </c>
      <c r="AI23" t="str">
        <f t="shared" si="22"/>
        <v/>
      </c>
      <c r="AJ23" t="str">
        <f t="shared" si="23"/>
        <v/>
      </c>
      <c r="AK23" t="str">
        <f t="shared" si="24"/>
        <v/>
      </c>
      <c r="AL23" t="str">
        <f t="shared" si="25"/>
        <v/>
      </c>
      <c r="AM23" t="str">
        <f t="shared" si="26"/>
        <v/>
      </c>
      <c r="AN23" t="str">
        <f t="shared" si="27"/>
        <v/>
      </c>
      <c r="AO23" t="str">
        <f t="shared" si="27"/>
        <v/>
      </c>
      <c r="AQ23" s="41">
        <v>12</v>
      </c>
      <c r="AR23" s="36">
        <f>Tabulka135[[#This Row],[Race no.]]</f>
        <v>26</v>
      </c>
      <c r="AS23" s="42" t="str">
        <f>Tabulka135[[#This Row],[Surname and name]]</f>
        <v>Romeo HASCHKA</v>
      </c>
      <c r="AT23" s="40" t="str">
        <f>Tabulka135[[#This Row],[Team]]</f>
        <v>RLM Wien</v>
      </c>
      <c r="AU23" s="40">
        <f>Tabulka135[[#This Row],[UCI ID]]</f>
        <v>10105673194</v>
      </c>
      <c r="AV23" s="36" t="e">
        <f>#REF!</f>
        <v>#REF!</v>
      </c>
      <c r="AW23" s="36" t="e">
        <f>#REF!</f>
        <v>#REF!</v>
      </c>
      <c r="AX23">
        <f>Tabulka135[[#This Row],[Body_bod]]</f>
        <v>0</v>
      </c>
    </row>
    <row r="24" spans="1:50" ht="15.75">
      <c r="A24" s="14">
        <f>RANK(Tabulka135[[#This Row],[Body_bod]],Tabulka135[Body_bod],0)</f>
        <v>1</v>
      </c>
      <c r="B24" s="44">
        <v>25</v>
      </c>
      <c r="C24" s="15">
        <v>10113786640</v>
      </c>
      <c r="D24" s="16" t="s">
        <v>371</v>
      </c>
      <c r="E24" s="17" t="s">
        <v>366</v>
      </c>
      <c r="F24" s="18" t="s">
        <v>345</v>
      </c>
      <c r="G24" s="49">
        <f>IFERROR(VLOOKUP(Tabulka135[[#This Row],[Race no.]],Vylučovačka!D:E,2,FALSE),"x")</f>
        <v>13</v>
      </c>
      <c r="H24" s="20">
        <f>IFERROR(VLOOKUP(G24,List1!B:C,2,FALSE),0)</f>
        <v>16</v>
      </c>
      <c r="I24" s="22">
        <f t="shared" si="0"/>
        <v>0</v>
      </c>
      <c r="J24" s="50">
        <f>IFERROR(VLOOKUP(Tabulka135[[#This Row],[Race no.]],Bodovacka!D:E,2,FALSE),"x")</f>
        <v>9</v>
      </c>
      <c r="K24" s="22">
        <f t="shared" si="1"/>
        <v>0</v>
      </c>
      <c r="L24" s="23" t="str">
        <f t="shared" si="2"/>
        <v/>
      </c>
      <c r="M24" s="23" t="str">
        <f t="shared" si="3"/>
        <v/>
      </c>
      <c r="N24" s="23" t="str">
        <f t="shared" si="4"/>
        <v/>
      </c>
      <c r="O24" s="23" t="str">
        <f t="shared" si="5"/>
        <v/>
      </c>
      <c r="P24" s="23" t="str">
        <f t="shared" si="6"/>
        <v/>
      </c>
      <c r="Q24" s="23" t="str">
        <f t="shared" si="7"/>
        <v/>
      </c>
      <c r="R24" s="23" t="str">
        <f t="shared" si="8"/>
        <v/>
      </c>
      <c r="S24" s="23" t="str">
        <f t="shared" si="9"/>
        <v/>
      </c>
      <c r="T24" s="23" t="str">
        <f t="shared" si="10"/>
        <v/>
      </c>
      <c r="U24" s="23" t="str">
        <f t="shared" si="10"/>
        <v/>
      </c>
      <c r="V24" s="23" t="str">
        <f t="shared" si="10"/>
        <v/>
      </c>
      <c r="W24" s="23" t="str">
        <f t="shared" si="11"/>
        <v/>
      </c>
      <c r="X24" s="23"/>
      <c r="Y24" s="57" t="str">
        <f t="shared" si="12"/>
        <v/>
      </c>
      <c r="Z24" t="str">
        <f t="shared" si="13"/>
        <v/>
      </c>
      <c r="AA24" t="str">
        <f t="shared" si="14"/>
        <v/>
      </c>
      <c r="AB24" t="str">
        <f t="shared" si="15"/>
        <v/>
      </c>
      <c r="AC24" t="str">
        <f t="shared" si="16"/>
        <v/>
      </c>
      <c r="AD24" t="str">
        <f t="shared" si="17"/>
        <v/>
      </c>
      <c r="AE24" t="str">
        <f t="shared" si="18"/>
        <v/>
      </c>
      <c r="AF24" t="str">
        <f t="shared" si="19"/>
        <v/>
      </c>
      <c r="AG24" t="str">
        <f t="shared" si="20"/>
        <v/>
      </c>
      <c r="AH24" t="str">
        <f t="shared" si="21"/>
        <v/>
      </c>
      <c r="AI24" t="str">
        <f t="shared" si="22"/>
        <v/>
      </c>
      <c r="AJ24" t="str">
        <f t="shared" si="23"/>
        <v/>
      </c>
      <c r="AK24" t="str">
        <f t="shared" si="24"/>
        <v/>
      </c>
      <c r="AL24" t="str">
        <f t="shared" si="25"/>
        <v/>
      </c>
      <c r="AM24" t="str">
        <f t="shared" si="26"/>
        <v/>
      </c>
      <c r="AN24" t="str">
        <f t="shared" si="27"/>
        <v/>
      </c>
      <c r="AO24" t="str">
        <f t="shared" si="27"/>
        <v/>
      </c>
      <c r="AQ24" s="41">
        <v>13</v>
      </c>
      <c r="AR24" s="36">
        <f>Tabulka135[[#This Row],[Race no.]]</f>
        <v>25</v>
      </c>
      <c r="AS24" s="42" t="str">
        <f>Tabulka135[[#This Row],[Surname and name]]</f>
        <v>Wiro GRILL</v>
      </c>
      <c r="AT24" s="40" t="str">
        <f>Tabulka135[[#This Row],[Team]]</f>
        <v>RLM Wien</v>
      </c>
      <c r="AU24" s="40">
        <f>Tabulka135[[#This Row],[UCI ID]]</f>
        <v>10113786640</v>
      </c>
      <c r="AV24" s="36" t="e">
        <f>#REF!</f>
        <v>#REF!</v>
      </c>
      <c r="AW24" s="36" t="e">
        <f>#REF!</f>
        <v>#REF!</v>
      </c>
      <c r="AX24">
        <f>Tabulka135[[#This Row],[Body_bod]]</f>
        <v>0</v>
      </c>
    </row>
    <row r="25" spans="1:50" ht="15.75">
      <c r="A25" s="14">
        <f>RANK(Tabulka135[[#This Row],[Body_bod]],Tabulka135[Body_bod],0)</f>
        <v>1</v>
      </c>
      <c r="B25" s="44">
        <v>5</v>
      </c>
      <c r="C25" s="15">
        <v>10104974996</v>
      </c>
      <c r="D25" s="16" t="s">
        <v>347</v>
      </c>
      <c r="E25" s="17" t="s">
        <v>341</v>
      </c>
      <c r="F25" s="18" t="s">
        <v>345</v>
      </c>
      <c r="G25" s="49">
        <f>IFERROR(VLOOKUP(Tabulka135[[#This Row],[Race no.]],Vylučovačka!D:E,2,FALSE),"x")</f>
        <v>14</v>
      </c>
      <c r="H25" s="20">
        <f>IFERROR(VLOOKUP(G25,List1!B:C,2,FALSE),0)</f>
        <v>14</v>
      </c>
      <c r="I25" s="22">
        <f t="shared" si="0"/>
        <v>0</v>
      </c>
      <c r="J25" s="50">
        <f>IFERROR(VLOOKUP(Tabulka135[[#This Row],[Race no.]],Bodovacka!D:E,2,FALSE),"x")</f>
        <v>8</v>
      </c>
      <c r="K25" s="22">
        <f t="shared" si="1"/>
        <v>0</v>
      </c>
      <c r="L25" s="23" t="str">
        <f t="shared" si="2"/>
        <v/>
      </c>
      <c r="M25" s="23" t="str">
        <f t="shared" si="3"/>
        <v/>
      </c>
      <c r="N25" s="23" t="str">
        <f t="shared" si="4"/>
        <v/>
      </c>
      <c r="O25" s="23" t="str">
        <f t="shared" si="5"/>
        <v/>
      </c>
      <c r="P25" s="23" t="str">
        <f t="shared" si="6"/>
        <v/>
      </c>
      <c r="Q25" s="23" t="str">
        <f t="shared" si="7"/>
        <v/>
      </c>
      <c r="R25" s="23" t="str">
        <f t="shared" si="8"/>
        <v/>
      </c>
      <c r="S25" s="23" t="str">
        <f t="shared" si="9"/>
        <v/>
      </c>
      <c r="T25" s="23" t="str">
        <f t="shared" si="10"/>
        <v/>
      </c>
      <c r="U25" s="23" t="str">
        <f t="shared" si="10"/>
        <v/>
      </c>
      <c r="V25" s="23" t="str">
        <f t="shared" si="10"/>
        <v/>
      </c>
      <c r="W25" s="23" t="str">
        <f t="shared" si="11"/>
        <v/>
      </c>
      <c r="X25" s="23"/>
      <c r="Y25" s="57" t="str">
        <f t="shared" si="12"/>
        <v/>
      </c>
      <c r="Z25" s="1" t="str">
        <f t="shared" si="13"/>
        <v/>
      </c>
      <c r="AA25" s="1" t="str">
        <f t="shared" si="14"/>
        <v/>
      </c>
      <c r="AB25" s="1" t="str">
        <f t="shared" si="15"/>
        <v/>
      </c>
      <c r="AC25" s="1" t="str">
        <f t="shared" si="16"/>
        <v/>
      </c>
      <c r="AD25" s="1" t="str">
        <f t="shared" si="17"/>
        <v/>
      </c>
      <c r="AE25" s="1" t="str">
        <f t="shared" si="18"/>
        <v/>
      </c>
      <c r="AF25" s="1" t="str">
        <f t="shared" si="19"/>
        <v/>
      </c>
      <c r="AG25" s="1" t="str">
        <f t="shared" si="20"/>
        <v/>
      </c>
      <c r="AH25" s="1" t="str">
        <f t="shared" si="21"/>
        <v/>
      </c>
      <c r="AI25" s="1" t="str">
        <f t="shared" si="22"/>
        <v/>
      </c>
      <c r="AJ25" s="1" t="str">
        <f t="shared" si="23"/>
        <v/>
      </c>
      <c r="AK25" s="1" t="str">
        <f t="shared" si="24"/>
        <v/>
      </c>
      <c r="AL25" s="1" t="str">
        <f t="shared" si="25"/>
        <v/>
      </c>
      <c r="AM25" s="1" t="str">
        <f t="shared" si="26"/>
        <v/>
      </c>
      <c r="AN25" s="1" t="str">
        <f t="shared" si="27"/>
        <v/>
      </c>
      <c r="AO25" s="1" t="str">
        <f t="shared" si="27"/>
        <v/>
      </c>
      <c r="AQ25" s="41">
        <v>14</v>
      </c>
      <c r="AR25" s="36">
        <f>Tabulka135[[#This Row],[Race no.]]</f>
        <v>5</v>
      </c>
      <c r="AS25" s="42" t="str">
        <f>Tabulka135[[#This Row],[Surname and name]]</f>
        <v>Matěj DEDEK</v>
      </c>
      <c r="AT25" s="40" t="str">
        <f>Tabulka135[[#This Row],[Team]]</f>
        <v>TUFO PARDUS Prostějov z.s.</v>
      </c>
      <c r="AU25" s="40">
        <f>Tabulka135[[#This Row],[UCI ID]]</f>
        <v>10104974996</v>
      </c>
      <c r="AV25" s="36" t="e">
        <f>#REF!</f>
        <v>#REF!</v>
      </c>
      <c r="AW25" s="36" t="e">
        <f>#REF!</f>
        <v>#REF!</v>
      </c>
      <c r="AX25">
        <f>Tabulka135[[#This Row],[Body_bod]]</f>
        <v>0</v>
      </c>
    </row>
    <row r="26" spans="1:50" ht="15.75">
      <c r="A26" s="14">
        <f>RANK(Tabulka135[[#This Row],[Body_bod]],Tabulka135[Body_bod],0)</f>
        <v>1</v>
      </c>
      <c r="B26" s="44">
        <v>14</v>
      </c>
      <c r="C26" s="15">
        <v>10076591786</v>
      </c>
      <c r="D26" s="16" t="s">
        <v>358</v>
      </c>
      <c r="E26" s="17" t="s">
        <v>359</v>
      </c>
      <c r="F26" s="18" t="s">
        <v>345</v>
      </c>
      <c r="G26" s="49">
        <f>IFERROR(VLOOKUP(Tabulka135[[#This Row],[Race no.]],Vylučovačka!D:E,2,FALSE),"x")</f>
        <v>15</v>
      </c>
      <c r="H26" s="20">
        <f>IFERROR(VLOOKUP(G26,List1!B:C,2,FALSE),0)</f>
        <v>12</v>
      </c>
      <c r="I26" s="22">
        <f t="shared" si="0"/>
        <v>0</v>
      </c>
      <c r="J26" s="50">
        <f>IFERROR(VLOOKUP(Tabulka135[[#This Row],[Race no.]],Bodovacka!D:E,2,FALSE),"x")</f>
        <v>6</v>
      </c>
      <c r="K26" s="22">
        <f t="shared" si="1"/>
        <v>0</v>
      </c>
      <c r="L26" s="23" t="str">
        <f t="shared" si="2"/>
        <v/>
      </c>
      <c r="M26" s="23" t="str">
        <f t="shared" si="3"/>
        <v/>
      </c>
      <c r="N26" s="23" t="str">
        <f t="shared" si="4"/>
        <v/>
      </c>
      <c r="O26" s="23" t="str">
        <f t="shared" si="5"/>
        <v/>
      </c>
      <c r="P26" s="23" t="str">
        <f t="shared" si="6"/>
        <v/>
      </c>
      <c r="Q26" s="23" t="str">
        <f t="shared" si="7"/>
        <v/>
      </c>
      <c r="R26" s="23" t="str">
        <f t="shared" si="8"/>
        <v/>
      </c>
      <c r="S26" s="23" t="str">
        <f t="shared" si="9"/>
        <v/>
      </c>
      <c r="T26" s="23" t="str">
        <f t="shared" si="10"/>
        <v/>
      </c>
      <c r="U26" s="23" t="str">
        <f t="shared" si="10"/>
        <v/>
      </c>
      <c r="V26" s="23" t="str">
        <f t="shared" si="10"/>
        <v/>
      </c>
      <c r="W26" s="23" t="str">
        <f t="shared" si="11"/>
        <v/>
      </c>
      <c r="X26" s="23"/>
      <c r="Y26" s="57" t="str">
        <f t="shared" si="12"/>
        <v/>
      </c>
      <c r="Z26" t="str">
        <f t="shared" si="13"/>
        <v/>
      </c>
      <c r="AA26" t="str">
        <f t="shared" si="14"/>
        <v/>
      </c>
      <c r="AB26" t="str">
        <f t="shared" si="15"/>
        <v/>
      </c>
      <c r="AC26" t="str">
        <f t="shared" si="16"/>
        <v/>
      </c>
      <c r="AD26" t="str">
        <f t="shared" si="17"/>
        <v/>
      </c>
      <c r="AE26" t="str">
        <f t="shared" si="18"/>
        <v/>
      </c>
      <c r="AF26" t="str">
        <f t="shared" si="19"/>
        <v/>
      </c>
      <c r="AG26" t="str">
        <f t="shared" si="20"/>
        <v/>
      </c>
      <c r="AH26" t="str">
        <f t="shared" si="21"/>
        <v/>
      </c>
      <c r="AI26" t="str">
        <f t="shared" si="22"/>
        <v/>
      </c>
      <c r="AJ26" t="str">
        <f t="shared" si="23"/>
        <v/>
      </c>
      <c r="AK26" t="str">
        <f t="shared" si="24"/>
        <v/>
      </c>
      <c r="AL26" t="str">
        <f t="shared" si="25"/>
        <v/>
      </c>
      <c r="AM26" t="str">
        <f t="shared" si="26"/>
        <v/>
      </c>
      <c r="AN26" t="str">
        <f t="shared" si="27"/>
        <v/>
      </c>
      <c r="AO26" t="str">
        <f t="shared" si="27"/>
        <v/>
      </c>
      <c r="AQ26" s="41">
        <v>15</v>
      </c>
      <c r="AR26" s="36">
        <f>Tabulka135[[#This Row],[Race no.]]</f>
        <v>14</v>
      </c>
      <c r="AS26" s="42" t="str">
        <f>Tabulka135[[#This Row],[Surname and name]]</f>
        <v>Miroslav DRUŽKOVSKÝ</v>
      </c>
      <c r="AT26" s="40" t="str">
        <f>Tabulka135[[#This Row],[Team]]</f>
        <v>CyS Akadémia Petera Sagana</v>
      </c>
      <c r="AU26" s="40">
        <f>Tabulka135[[#This Row],[UCI ID]]</f>
        <v>10076591786</v>
      </c>
      <c r="AV26" s="36" t="e">
        <f>#REF!</f>
        <v>#REF!</v>
      </c>
      <c r="AW26" s="36" t="e">
        <f>#REF!</f>
        <v>#REF!</v>
      </c>
      <c r="AX26">
        <f>Tabulka135[[#This Row],[Body_bod]]</f>
        <v>0</v>
      </c>
    </row>
    <row r="27" spans="1:50" ht="15.75">
      <c r="A27" s="14">
        <f>RANK(Tabulka135[[#This Row],[Body_bod]],Tabulka135[Body_bod],0)</f>
        <v>1</v>
      </c>
      <c r="B27" s="44">
        <v>13</v>
      </c>
      <c r="C27" s="15">
        <v>10117285209</v>
      </c>
      <c r="D27" s="16" t="s">
        <v>357</v>
      </c>
      <c r="E27" s="17" t="s">
        <v>355</v>
      </c>
      <c r="F27" s="18" t="s">
        <v>342</v>
      </c>
      <c r="G27" s="49">
        <f>IFERROR(VLOOKUP(Tabulka135[[#This Row],[Race no.]],Vylučovačka!D:E,2,FALSE),"x")</f>
        <v>16</v>
      </c>
      <c r="H27" s="20">
        <f>IFERROR(VLOOKUP(G27,List1!B:C,2,FALSE),0)</f>
        <v>10</v>
      </c>
      <c r="I27" s="22">
        <f t="shared" si="0"/>
        <v>0</v>
      </c>
      <c r="J27" s="50">
        <f>IFERROR(VLOOKUP(Tabulka135[[#This Row],[Race no.]],Bodovacka!D:E,2,FALSE),"x")</f>
        <v>14</v>
      </c>
      <c r="K27" s="22">
        <f t="shared" si="1"/>
        <v>0</v>
      </c>
      <c r="L27" s="23" t="str">
        <f t="shared" si="2"/>
        <v/>
      </c>
      <c r="M27" s="23" t="str">
        <f t="shared" si="3"/>
        <v/>
      </c>
      <c r="N27" s="23" t="str">
        <f t="shared" si="4"/>
        <v/>
      </c>
      <c r="O27" s="23" t="str">
        <f t="shared" si="5"/>
        <v/>
      </c>
      <c r="P27" s="23" t="str">
        <f t="shared" si="6"/>
        <v/>
      </c>
      <c r="Q27" s="23" t="str">
        <f t="shared" si="7"/>
        <v/>
      </c>
      <c r="R27" s="23" t="str">
        <f t="shared" si="8"/>
        <v/>
      </c>
      <c r="S27" s="23" t="str">
        <f t="shared" si="9"/>
        <v/>
      </c>
      <c r="T27" s="23" t="str">
        <f t="shared" si="10"/>
        <v/>
      </c>
      <c r="U27" s="23" t="str">
        <f t="shared" si="10"/>
        <v/>
      </c>
      <c r="V27" s="23" t="str">
        <f t="shared" si="10"/>
        <v/>
      </c>
      <c r="W27" s="23" t="str">
        <f t="shared" si="11"/>
        <v/>
      </c>
      <c r="X27" s="23"/>
      <c r="Y27" s="57" t="str">
        <f t="shared" si="12"/>
        <v/>
      </c>
      <c r="Z27" t="str">
        <f t="shared" si="13"/>
        <v/>
      </c>
      <c r="AA27" t="str">
        <f t="shared" si="14"/>
        <v/>
      </c>
      <c r="AB27" t="str">
        <f t="shared" si="15"/>
        <v/>
      </c>
      <c r="AC27" t="str">
        <f t="shared" si="16"/>
        <v/>
      </c>
      <c r="AD27" t="str">
        <f t="shared" si="17"/>
        <v/>
      </c>
      <c r="AE27" t="str">
        <f t="shared" si="18"/>
        <v/>
      </c>
      <c r="AF27" t="str">
        <f t="shared" si="19"/>
        <v/>
      </c>
      <c r="AG27" t="str">
        <f t="shared" si="20"/>
        <v/>
      </c>
      <c r="AH27" t="str">
        <f t="shared" si="21"/>
        <v/>
      </c>
      <c r="AI27" t="str">
        <f t="shared" si="22"/>
        <v/>
      </c>
      <c r="AJ27" t="str">
        <f t="shared" si="23"/>
        <v/>
      </c>
      <c r="AK27" t="str">
        <f t="shared" si="24"/>
        <v/>
      </c>
      <c r="AL27" t="str">
        <f t="shared" si="25"/>
        <v/>
      </c>
      <c r="AM27" t="str">
        <f t="shared" si="26"/>
        <v/>
      </c>
      <c r="AN27" t="str">
        <f t="shared" si="27"/>
        <v/>
      </c>
      <c r="AO27" t="str">
        <f t="shared" si="27"/>
        <v/>
      </c>
      <c r="AQ27" s="41">
        <v>16</v>
      </c>
      <c r="AR27" s="36">
        <f>Tabulka135[[#This Row],[Race no.]]</f>
        <v>13</v>
      </c>
      <c r="AS27" s="42" t="str">
        <f>Tabulka135[[#This Row],[Surname and name]]</f>
        <v>Matúš BEHAN</v>
      </c>
      <c r="AT27" s="40" t="str">
        <f>Tabulka135[[#This Row],[Team]]</f>
        <v>CK Epic Dohňany</v>
      </c>
      <c r="AU27" s="40">
        <f>Tabulka135[[#This Row],[UCI ID]]</f>
        <v>10117285209</v>
      </c>
      <c r="AV27" s="36" t="e">
        <f>#REF!</f>
        <v>#REF!</v>
      </c>
      <c r="AW27" s="36" t="e">
        <f>#REF!</f>
        <v>#REF!</v>
      </c>
      <c r="AX27">
        <f>Tabulka135[[#This Row],[Body_bod]]</f>
        <v>0</v>
      </c>
    </row>
    <row r="28" spans="1:50" ht="15.75">
      <c r="A28" s="14">
        <f>RANK(Tabulka135[[#This Row],[Body_bod]],Tabulka135[Body_bod],0)</f>
        <v>1</v>
      </c>
      <c r="B28" s="44">
        <v>10</v>
      </c>
      <c r="C28" s="15">
        <v>10104974188</v>
      </c>
      <c r="D28" s="16" t="s">
        <v>353</v>
      </c>
      <c r="E28" s="17" t="s">
        <v>351</v>
      </c>
      <c r="F28" s="18" t="s">
        <v>345</v>
      </c>
      <c r="G28" s="49">
        <f>IFERROR(VLOOKUP(Tabulka135[[#This Row],[Race no.]],Vylučovačka!D:E,2,FALSE),"x")</f>
        <v>17</v>
      </c>
      <c r="H28" s="20">
        <f>IFERROR(VLOOKUP(G28,List1!B:C,2,FALSE),0)</f>
        <v>8</v>
      </c>
      <c r="I28" s="22">
        <f t="shared" si="0"/>
        <v>0</v>
      </c>
      <c r="J28" s="50">
        <f>IFERROR(VLOOKUP(Tabulka135[[#This Row],[Race no.]],Bodovacka!D:E,2,FALSE),"x")</f>
        <v>17</v>
      </c>
      <c r="K28" s="22">
        <f t="shared" si="1"/>
        <v>0</v>
      </c>
      <c r="L28" s="23" t="str">
        <f t="shared" si="2"/>
        <v/>
      </c>
      <c r="M28" s="23" t="str">
        <f t="shared" si="3"/>
        <v/>
      </c>
      <c r="N28" s="23" t="str">
        <f t="shared" si="4"/>
        <v/>
      </c>
      <c r="O28" s="23" t="str">
        <f t="shared" si="5"/>
        <v/>
      </c>
      <c r="P28" s="23" t="str">
        <f t="shared" si="6"/>
        <v/>
      </c>
      <c r="Q28" s="23" t="str">
        <f t="shared" si="7"/>
        <v/>
      </c>
      <c r="R28" s="23" t="str">
        <f t="shared" si="8"/>
        <v/>
      </c>
      <c r="S28" s="23" t="str">
        <f t="shared" si="9"/>
        <v/>
      </c>
      <c r="T28" s="23" t="str">
        <f t="shared" si="10"/>
        <v/>
      </c>
      <c r="U28" s="23" t="str">
        <f t="shared" si="10"/>
        <v/>
      </c>
      <c r="V28" s="23" t="str">
        <f t="shared" si="10"/>
        <v/>
      </c>
      <c r="W28" s="23" t="str">
        <f t="shared" si="11"/>
        <v/>
      </c>
      <c r="X28" s="23"/>
      <c r="Y28" s="57" t="str">
        <f t="shared" si="12"/>
        <v/>
      </c>
      <c r="Z28" t="str">
        <f t="shared" si="13"/>
        <v/>
      </c>
      <c r="AA28" t="str">
        <f t="shared" si="14"/>
        <v/>
      </c>
      <c r="AB28" t="str">
        <f t="shared" si="15"/>
        <v/>
      </c>
      <c r="AC28" t="str">
        <f t="shared" si="16"/>
        <v/>
      </c>
      <c r="AD28" t="str">
        <f t="shared" si="17"/>
        <v/>
      </c>
      <c r="AE28" t="str">
        <f t="shared" si="18"/>
        <v/>
      </c>
      <c r="AF28" t="str">
        <f t="shared" si="19"/>
        <v/>
      </c>
      <c r="AG28" t="str">
        <f t="shared" si="20"/>
        <v/>
      </c>
      <c r="AH28" t="str">
        <f t="shared" si="21"/>
        <v/>
      </c>
      <c r="AI28" t="str">
        <f t="shared" si="22"/>
        <v/>
      </c>
      <c r="AJ28" t="str">
        <f t="shared" si="23"/>
        <v/>
      </c>
      <c r="AK28" t="str">
        <f t="shared" si="24"/>
        <v/>
      </c>
      <c r="AL28" t="str">
        <f t="shared" si="25"/>
        <v/>
      </c>
      <c r="AM28" t="str">
        <f t="shared" si="26"/>
        <v/>
      </c>
      <c r="AN28" t="str">
        <f t="shared" si="27"/>
        <v/>
      </c>
      <c r="AO28" t="str">
        <f t="shared" si="27"/>
        <v/>
      </c>
      <c r="AQ28" s="41">
        <v>17</v>
      </c>
      <c r="AR28" s="36">
        <f>Tabulka135[[#This Row],[Race no.]]</f>
        <v>10</v>
      </c>
      <c r="AS28" s="42" t="str">
        <f>Tabulka135[[#This Row],[Surname and name]]</f>
        <v>Daniel RUMPLÍK</v>
      </c>
      <c r="AT28" s="40" t="str">
        <f>Tabulka135[[#This Row],[Team]]</f>
        <v>TJ FAVORIT BRNO</v>
      </c>
      <c r="AU28" s="40">
        <f>Tabulka135[[#This Row],[UCI ID]]</f>
        <v>10104974188</v>
      </c>
      <c r="AV28" s="36" t="e">
        <f>#REF!</f>
        <v>#REF!</v>
      </c>
      <c r="AW28" s="36" t="e">
        <f>#REF!</f>
        <v>#REF!</v>
      </c>
      <c r="AX28">
        <f>Tabulka135[[#This Row],[Body_bod]]</f>
        <v>0</v>
      </c>
    </row>
    <row r="29" spans="1:50" ht="15.75">
      <c r="A29" s="14">
        <f>RANK(Tabulka135[[#This Row],[Body_bod]],Tabulka135[Body_bod],0)</f>
        <v>1</v>
      </c>
      <c r="B29" s="44">
        <v>7</v>
      </c>
      <c r="C29" s="15">
        <v>10137496672</v>
      </c>
      <c r="D29" s="16" t="s">
        <v>349</v>
      </c>
      <c r="E29" s="17" t="s">
        <v>341</v>
      </c>
      <c r="F29" s="18" t="s">
        <v>345</v>
      </c>
      <c r="G29" s="49">
        <f>IFERROR(VLOOKUP(Tabulka135[[#This Row],[Race no.]],Vylučovačka!D:E,2,FALSE),"x")</f>
        <v>18</v>
      </c>
      <c r="H29" s="20">
        <f>IFERROR(VLOOKUP(G29,List1!B:C,2,FALSE),0)</f>
        <v>6</v>
      </c>
      <c r="I29" s="22">
        <f t="shared" si="0"/>
        <v>0</v>
      </c>
      <c r="J29" s="50">
        <f>IFERROR(VLOOKUP(Tabulka135[[#This Row],[Race no.]],Bodovacka!D:E,2,FALSE),"x")</f>
        <v>23</v>
      </c>
      <c r="K29" s="22">
        <f t="shared" si="1"/>
        <v>0</v>
      </c>
      <c r="L29" s="23" t="str">
        <f t="shared" si="2"/>
        <v/>
      </c>
      <c r="M29" s="23" t="str">
        <f t="shared" si="3"/>
        <v/>
      </c>
      <c r="N29" s="23" t="str">
        <f t="shared" si="4"/>
        <v/>
      </c>
      <c r="O29" s="23" t="str">
        <f t="shared" si="5"/>
        <v/>
      </c>
      <c r="P29" s="23" t="str">
        <f t="shared" si="6"/>
        <v/>
      </c>
      <c r="Q29" s="23" t="str">
        <f t="shared" si="7"/>
        <v/>
      </c>
      <c r="R29" s="23" t="str">
        <f t="shared" si="8"/>
        <v/>
      </c>
      <c r="S29" s="23" t="str">
        <f t="shared" si="9"/>
        <v/>
      </c>
      <c r="T29" s="23" t="str">
        <f t="shared" si="10"/>
        <v/>
      </c>
      <c r="U29" s="23" t="str">
        <f t="shared" si="10"/>
        <v/>
      </c>
      <c r="V29" s="23" t="str">
        <f t="shared" si="10"/>
        <v/>
      </c>
      <c r="W29" s="23" t="str">
        <f t="shared" si="11"/>
        <v/>
      </c>
      <c r="X29" s="23"/>
      <c r="Y29" s="57" t="str">
        <f t="shared" si="12"/>
        <v/>
      </c>
      <c r="Z29" t="str">
        <f t="shared" si="13"/>
        <v/>
      </c>
      <c r="AA29" t="str">
        <f t="shared" si="14"/>
        <v/>
      </c>
      <c r="AB29" t="str">
        <f t="shared" si="15"/>
        <v/>
      </c>
      <c r="AC29" t="str">
        <f t="shared" si="16"/>
        <v/>
      </c>
      <c r="AD29" t="str">
        <f t="shared" si="17"/>
        <v/>
      </c>
      <c r="AE29" t="str">
        <f t="shared" si="18"/>
        <v/>
      </c>
      <c r="AF29" t="str">
        <f t="shared" si="19"/>
        <v/>
      </c>
      <c r="AG29" t="str">
        <f t="shared" si="20"/>
        <v/>
      </c>
      <c r="AH29" t="str">
        <f t="shared" si="21"/>
        <v/>
      </c>
      <c r="AI29" t="str">
        <f t="shared" si="22"/>
        <v/>
      </c>
      <c r="AJ29" t="str">
        <f t="shared" si="23"/>
        <v/>
      </c>
      <c r="AK29" t="str">
        <f t="shared" si="24"/>
        <v/>
      </c>
      <c r="AL29" t="str">
        <f t="shared" si="25"/>
        <v/>
      </c>
      <c r="AM29" t="str">
        <f t="shared" si="26"/>
        <v/>
      </c>
      <c r="AN29" t="str">
        <f t="shared" si="27"/>
        <v/>
      </c>
      <c r="AO29" t="str">
        <f t="shared" si="27"/>
        <v/>
      </c>
      <c r="AQ29" s="41">
        <v>18</v>
      </c>
      <c r="AR29" s="36">
        <f>Tabulka135[[#This Row],[Race no.]]</f>
        <v>7</v>
      </c>
      <c r="AS29" s="42" t="str">
        <f>Tabulka135[[#This Row],[Surname and name]]</f>
        <v>Lukáš LAKOMÝ</v>
      </c>
      <c r="AT29" s="40" t="str">
        <f>Tabulka135[[#This Row],[Team]]</f>
        <v>TUFO PARDUS Prostějov z.s.</v>
      </c>
      <c r="AU29" s="40">
        <f>Tabulka135[[#This Row],[UCI ID]]</f>
        <v>10137496672</v>
      </c>
      <c r="AV29" s="36" t="e">
        <f>#REF!</f>
        <v>#REF!</v>
      </c>
      <c r="AW29" s="36" t="e">
        <f>#REF!</f>
        <v>#REF!</v>
      </c>
      <c r="AX29">
        <f>Tabulka135[[#This Row],[Body_bod]]</f>
        <v>0</v>
      </c>
    </row>
    <row r="30" spans="1:50" ht="15.75">
      <c r="A30" s="14">
        <f>RANK(Tabulka135[[#This Row],[Body_bod]],Tabulka135[Body_bod],0)</f>
        <v>1</v>
      </c>
      <c r="B30" s="44">
        <v>16</v>
      </c>
      <c r="C30" s="15">
        <v>10091868680</v>
      </c>
      <c r="D30" s="16" t="s">
        <v>361</v>
      </c>
      <c r="E30" s="17" t="s">
        <v>359</v>
      </c>
      <c r="F30" s="18" t="s">
        <v>342</v>
      </c>
      <c r="G30" s="49">
        <f>IFERROR(VLOOKUP(Tabulka135[[#This Row],[Race no.]],Vylučovačka!D:E,2,FALSE),"x")</f>
        <v>19</v>
      </c>
      <c r="H30" s="20">
        <f>IFERROR(VLOOKUP(G30,List1!B:C,2,FALSE),0)</f>
        <v>4</v>
      </c>
      <c r="I30" s="22">
        <f t="shared" si="0"/>
        <v>0</v>
      </c>
      <c r="J30" s="50">
        <f>IFERROR(VLOOKUP(Tabulka135[[#This Row],[Race no.]],Bodovacka!D:E,2,FALSE),"x")</f>
        <v>20</v>
      </c>
      <c r="K30" s="22">
        <f t="shared" si="1"/>
        <v>0</v>
      </c>
      <c r="L30" s="23" t="str">
        <f t="shared" si="2"/>
        <v/>
      </c>
      <c r="M30" s="23" t="str">
        <f t="shared" si="3"/>
        <v/>
      </c>
      <c r="N30" s="23" t="str">
        <f t="shared" si="4"/>
        <v/>
      </c>
      <c r="O30" s="23" t="str">
        <f t="shared" si="5"/>
        <v/>
      </c>
      <c r="P30" s="23" t="str">
        <f t="shared" si="6"/>
        <v/>
      </c>
      <c r="Q30" s="23" t="str">
        <f t="shared" si="7"/>
        <v/>
      </c>
      <c r="R30" s="23" t="str">
        <f t="shared" si="8"/>
        <v/>
      </c>
      <c r="S30" s="23" t="str">
        <f t="shared" si="9"/>
        <v/>
      </c>
      <c r="T30" s="23" t="str">
        <f t="shared" si="10"/>
        <v/>
      </c>
      <c r="U30" s="23" t="str">
        <f t="shared" si="10"/>
        <v/>
      </c>
      <c r="V30" s="23" t="str">
        <f t="shared" si="10"/>
        <v/>
      </c>
      <c r="W30" s="23" t="str">
        <f t="shared" si="11"/>
        <v/>
      </c>
      <c r="X30" s="23"/>
      <c r="Y30" s="57" t="str">
        <f t="shared" si="12"/>
        <v/>
      </c>
      <c r="Z30" t="str">
        <f t="shared" si="13"/>
        <v/>
      </c>
      <c r="AA30" t="str">
        <f t="shared" si="14"/>
        <v/>
      </c>
      <c r="AB30" t="str">
        <f t="shared" si="15"/>
        <v/>
      </c>
      <c r="AC30" t="str">
        <f t="shared" si="16"/>
        <v/>
      </c>
      <c r="AD30" t="str">
        <f t="shared" si="17"/>
        <v/>
      </c>
      <c r="AE30" t="str">
        <f t="shared" si="18"/>
        <v/>
      </c>
      <c r="AF30" t="str">
        <f t="shared" si="19"/>
        <v/>
      </c>
      <c r="AG30" t="str">
        <f t="shared" si="20"/>
        <v/>
      </c>
      <c r="AH30" t="str">
        <f t="shared" si="21"/>
        <v/>
      </c>
      <c r="AI30" t="str">
        <f t="shared" si="22"/>
        <v/>
      </c>
      <c r="AJ30" t="str">
        <f t="shared" si="23"/>
        <v/>
      </c>
      <c r="AK30" t="str">
        <f t="shared" si="24"/>
        <v/>
      </c>
      <c r="AL30" t="str">
        <f t="shared" si="25"/>
        <v/>
      </c>
      <c r="AM30" t="str">
        <f t="shared" si="26"/>
        <v/>
      </c>
      <c r="AN30" t="str">
        <f t="shared" si="27"/>
        <v/>
      </c>
      <c r="AO30" t="str">
        <f t="shared" si="27"/>
        <v/>
      </c>
      <c r="AQ30" s="41">
        <v>19</v>
      </c>
      <c r="AR30" s="36">
        <f>Tabulka135[[#This Row],[Race no.]]</f>
        <v>16</v>
      </c>
      <c r="AS30" s="42" t="str">
        <f>Tabulka135[[#This Row],[Surname and name]]</f>
        <v>Štefan ŠIDELSKÝ</v>
      </c>
      <c r="AT30" s="40" t="str">
        <f>Tabulka135[[#This Row],[Team]]</f>
        <v>CyS Akadémia Petera Sagana</v>
      </c>
      <c r="AU30" s="40">
        <f>Tabulka135[[#This Row],[UCI ID]]</f>
        <v>10091868680</v>
      </c>
      <c r="AV30" s="36" t="e">
        <f>#REF!</f>
        <v>#REF!</v>
      </c>
      <c r="AW30" s="36" t="e">
        <f>#REF!</f>
        <v>#REF!</v>
      </c>
      <c r="AX30">
        <f>Tabulka135[[#This Row],[Body_bod]]</f>
        <v>0</v>
      </c>
    </row>
    <row r="31" spans="1:50" ht="15.75">
      <c r="A31" s="14">
        <f>RANK(Tabulka135[[#This Row],[Body_bod]],Tabulka135[Body_bod],0)</f>
        <v>1</v>
      </c>
      <c r="B31" s="44">
        <v>29</v>
      </c>
      <c r="C31" s="15">
        <v>10112046300</v>
      </c>
      <c r="D31" s="16" t="s">
        <v>377</v>
      </c>
      <c r="E31" s="17" t="s">
        <v>369</v>
      </c>
      <c r="F31" s="18" t="s">
        <v>345</v>
      </c>
      <c r="G31" s="49">
        <f>IFERROR(VLOOKUP(Tabulka135[[#This Row],[Race no.]],Vylučovačka!D:E,2,FALSE),"x")</f>
        <v>20</v>
      </c>
      <c r="H31" s="20">
        <f>IFERROR(VLOOKUP(G31,List1!B:C,2,FALSE),0)</f>
        <v>2</v>
      </c>
      <c r="I31" s="22">
        <f t="shared" si="0"/>
        <v>0</v>
      </c>
      <c r="J31" s="50">
        <f>IFERROR(VLOOKUP(Tabulka135[[#This Row],[Race no.]],Bodovacka!D:E,2,FALSE),"x")</f>
        <v>16</v>
      </c>
      <c r="K31" s="22">
        <f t="shared" si="1"/>
        <v>0</v>
      </c>
      <c r="L31" s="23" t="str">
        <f t="shared" si="2"/>
        <v/>
      </c>
      <c r="M31" s="23" t="str">
        <f t="shared" si="3"/>
        <v/>
      </c>
      <c r="N31" s="23" t="str">
        <f t="shared" si="4"/>
        <v/>
      </c>
      <c r="O31" s="23" t="str">
        <f t="shared" si="5"/>
        <v/>
      </c>
      <c r="P31" s="23" t="str">
        <f t="shared" si="6"/>
        <v/>
      </c>
      <c r="Q31" s="23" t="str">
        <f t="shared" si="7"/>
        <v/>
      </c>
      <c r="R31" s="23" t="str">
        <f t="shared" si="8"/>
        <v/>
      </c>
      <c r="S31" s="23" t="str">
        <f t="shared" si="9"/>
        <v/>
      </c>
      <c r="T31" s="23" t="str">
        <f t="shared" si="10"/>
        <v/>
      </c>
      <c r="U31" s="23" t="str">
        <f t="shared" si="10"/>
        <v/>
      </c>
      <c r="V31" s="23" t="str">
        <f t="shared" si="10"/>
        <v/>
      </c>
      <c r="W31" s="23" t="str">
        <f t="shared" si="11"/>
        <v/>
      </c>
      <c r="X31" s="23"/>
      <c r="Y31" s="57" t="str">
        <f t="shared" si="12"/>
        <v/>
      </c>
      <c r="Z31" t="str">
        <f t="shared" si="13"/>
        <v/>
      </c>
      <c r="AA31" t="str">
        <f t="shared" si="14"/>
        <v/>
      </c>
      <c r="AB31" t="str">
        <f t="shared" si="15"/>
        <v/>
      </c>
      <c r="AC31" t="str">
        <f t="shared" si="16"/>
        <v/>
      </c>
      <c r="AD31" t="str">
        <f t="shared" si="17"/>
        <v/>
      </c>
      <c r="AE31" t="str">
        <f t="shared" si="18"/>
        <v/>
      </c>
      <c r="AF31" t="str">
        <f t="shared" si="19"/>
        <v/>
      </c>
      <c r="AG31" t="str">
        <f t="shared" si="20"/>
        <v/>
      </c>
      <c r="AH31" t="str">
        <f t="shared" si="21"/>
        <v/>
      </c>
      <c r="AI31" t="str">
        <f t="shared" si="22"/>
        <v/>
      </c>
      <c r="AJ31" t="str">
        <f t="shared" si="23"/>
        <v/>
      </c>
      <c r="AK31" t="str">
        <f t="shared" si="24"/>
        <v/>
      </c>
      <c r="AL31" t="str">
        <f t="shared" si="25"/>
        <v/>
      </c>
      <c r="AM31" t="str">
        <f t="shared" si="26"/>
        <v/>
      </c>
      <c r="AN31" t="str">
        <f t="shared" si="27"/>
        <v/>
      </c>
      <c r="AO31" t="str">
        <f t="shared" si="27"/>
        <v/>
      </c>
      <c r="AQ31" s="41">
        <v>20</v>
      </c>
      <c r="AR31" s="36">
        <f>Tabulka135[[#This Row],[Race no.]]</f>
        <v>29</v>
      </c>
      <c r="AS31" s="42" t="str">
        <f>Tabulka135[[#This Row],[Surname and name]]</f>
        <v>Matyáš KREJČIŘÍK</v>
      </c>
      <c r="AT31" s="40" t="str">
        <f>Tabulka135[[#This Row],[Team]]</f>
        <v>Dakom Pharma Kyjov</v>
      </c>
      <c r="AU31" s="40">
        <f>Tabulka135[[#This Row],[UCI ID]]</f>
        <v>10112046300</v>
      </c>
      <c r="AV31" s="36" t="e">
        <f>#REF!</f>
        <v>#REF!</v>
      </c>
      <c r="AW31" s="36" t="e">
        <f>#REF!</f>
        <v>#REF!</v>
      </c>
      <c r="AX31">
        <f>Tabulka135[[#This Row],[Body_bod]]</f>
        <v>0</v>
      </c>
    </row>
    <row r="32" spans="1:50" ht="15.75">
      <c r="A32" s="14">
        <f>RANK(Tabulka135[[#This Row],[Body_bod]],Tabulka135[Body_bod],0)</f>
        <v>1</v>
      </c>
      <c r="B32" s="44">
        <v>19</v>
      </c>
      <c r="C32" s="15">
        <v>10133448742</v>
      </c>
      <c r="D32" s="16" t="s">
        <v>364</v>
      </c>
      <c r="E32" s="17" t="s">
        <v>247</v>
      </c>
      <c r="F32" s="18" t="s">
        <v>345</v>
      </c>
      <c r="G32" s="49">
        <f>IFERROR(VLOOKUP(Tabulka135[[#This Row],[Race no.]],Vylučovačka!D:E,2,FALSE),"x")</f>
        <v>21</v>
      </c>
      <c r="H32" s="20">
        <f>IFERROR(VLOOKUP(G32,List1!B:C,2,FALSE),0)</f>
        <v>1</v>
      </c>
      <c r="I32" s="22">
        <f t="shared" si="0"/>
        <v>0</v>
      </c>
      <c r="J32" s="50">
        <f>IFERROR(VLOOKUP(Tabulka135[[#This Row],[Race no.]],Bodovacka!D:E,2,FALSE),"x")</f>
        <v>26</v>
      </c>
      <c r="K32" s="22">
        <f t="shared" si="1"/>
        <v>0</v>
      </c>
      <c r="L32" s="23" t="str">
        <f t="shared" si="2"/>
        <v/>
      </c>
      <c r="M32" s="23" t="str">
        <f t="shared" si="3"/>
        <v/>
      </c>
      <c r="N32" s="23" t="str">
        <f t="shared" si="4"/>
        <v/>
      </c>
      <c r="O32" s="23" t="str">
        <f t="shared" si="5"/>
        <v/>
      </c>
      <c r="P32" s="23" t="str">
        <f t="shared" si="6"/>
        <v/>
      </c>
      <c r="Q32" s="23" t="str">
        <f t="shared" si="7"/>
        <v/>
      </c>
      <c r="R32" s="23" t="str">
        <f t="shared" si="8"/>
        <v/>
      </c>
      <c r="S32" s="23" t="str">
        <f t="shared" si="9"/>
        <v/>
      </c>
      <c r="T32" s="23" t="str">
        <f t="shared" si="10"/>
        <v/>
      </c>
      <c r="U32" s="23" t="str">
        <f t="shared" si="10"/>
        <v/>
      </c>
      <c r="V32" s="23" t="str">
        <f t="shared" si="10"/>
        <v/>
      </c>
      <c r="W32" s="23" t="str">
        <f t="shared" si="11"/>
        <v/>
      </c>
      <c r="X32" s="23"/>
      <c r="Y32" s="57" t="str">
        <f t="shared" si="12"/>
        <v/>
      </c>
      <c r="Z32" t="str">
        <f t="shared" si="13"/>
        <v/>
      </c>
      <c r="AA32" t="str">
        <f t="shared" si="14"/>
        <v/>
      </c>
      <c r="AB32" t="str">
        <f t="shared" si="15"/>
        <v/>
      </c>
      <c r="AC32" t="str">
        <f t="shared" si="16"/>
        <v/>
      </c>
      <c r="AD32" t="str">
        <f t="shared" si="17"/>
        <v/>
      </c>
      <c r="AE32" t="str">
        <f t="shared" si="18"/>
        <v/>
      </c>
      <c r="AF32" t="str">
        <f t="shared" si="19"/>
        <v/>
      </c>
      <c r="AG32" t="str">
        <f t="shared" si="20"/>
        <v/>
      </c>
      <c r="AH32" t="str">
        <f t="shared" si="21"/>
        <v/>
      </c>
      <c r="AI32" t="str">
        <f t="shared" si="22"/>
        <v/>
      </c>
      <c r="AJ32" t="str">
        <f t="shared" si="23"/>
        <v/>
      </c>
      <c r="AK32" t="str">
        <f t="shared" si="24"/>
        <v/>
      </c>
      <c r="AL32" t="str">
        <f t="shared" si="25"/>
        <v/>
      </c>
      <c r="AM32" t="str">
        <f t="shared" si="26"/>
        <v/>
      </c>
      <c r="AN32" t="str">
        <f t="shared" si="27"/>
        <v/>
      </c>
      <c r="AO32" t="str">
        <f t="shared" si="27"/>
        <v/>
      </c>
      <c r="AQ32" s="41">
        <v>21</v>
      </c>
      <c r="AR32" s="36">
        <f>Tabulka135[[#This Row],[Race no.]]</f>
        <v>19</v>
      </c>
      <c r="AS32" s="42" t="str">
        <f>Tabulka135[[#This Row],[Surname and name]]</f>
        <v>Oliver SAMUEL</v>
      </c>
      <c r="AT32" s="40" t="str">
        <f>Tabulka135[[#This Row],[Team]]</f>
        <v>CK Olympik Trnava</v>
      </c>
      <c r="AU32" s="40">
        <f>Tabulka135[[#This Row],[UCI ID]]</f>
        <v>10133448742</v>
      </c>
      <c r="AV32" s="36" t="e">
        <f>#REF!</f>
        <v>#REF!</v>
      </c>
      <c r="AW32" s="36" t="e">
        <f>#REF!</f>
        <v>#REF!</v>
      </c>
      <c r="AX32">
        <f>Tabulka135[[#This Row],[Body_bod]]</f>
        <v>0</v>
      </c>
    </row>
    <row r="33" spans="1:50" ht="15.75">
      <c r="A33" s="14">
        <f>RANK(Tabulka135[[#This Row],[Body_bod]],Tabulka135[Body_bod],0)</f>
        <v>1</v>
      </c>
      <c r="B33" s="44">
        <v>22</v>
      </c>
      <c r="C33" s="15">
        <v>10112045993</v>
      </c>
      <c r="D33" s="16" t="s">
        <v>368</v>
      </c>
      <c r="E33" s="17" t="s">
        <v>385</v>
      </c>
      <c r="F33" s="18" t="s">
        <v>342</v>
      </c>
      <c r="G33" s="49">
        <f>IFERROR(VLOOKUP(Tabulka135[[#This Row],[Race no.]],Vylučovačka!D:E,2,FALSE),"x")</f>
        <v>22</v>
      </c>
      <c r="H33" s="20">
        <f>IFERROR(VLOOKUP(G33,List1!B:C,2,FALSE),0)</f>
        <v>1</v>
      </c>
      <c r="I33" s="22">
        <f t="shared" si="0"/>
        <v>0</v>
      </c>
      <c r="J33" s="50">
        <f>IFERROR(VLOOKUP(Tabulka135[[#This Row],[Race no.]],Bodovacka!D:E,2,FALSE),"x")</f>
        <v>18</v>
      </c>
      <c r="K33" s="22">
        <f t="shared" si="1"/>
        <v>0</v>
      </c>
      <c r="L33" s="23" t="str">
        <f t="shared" si="2"/>
        <v/>
      </c>
      <c r="M33" s="23" t="str">
        <f t="shared" si="3"/>
        <v/>
      </c>
      <c r="N33" s="23" t="str">
        <f t="shared" si="4"/>
        <v/>
      </c>
      <c r="O33" s="23" t="str">
        <f t="shared" si="5"/>
        <v/>
      </c>
      <c r="P33" s="23" t="str">
        <f t="shared" si="6"/>
        <v/>
      </c>
      <c r="Q33" s="23" t="str">
        <f t="shared" si="7"/>
        <v/>
      </c>
      <c r="R33" s="23" t="str">
        <f t="shared" si="8"/>
        <v/>
      </c>
      <c r="S33" s="23" t="str">
        <f t="shared" si="9"/>
        <v/>
      </c>
      <c r="T33" s="23" t="str">
        <f t="shared" si="10"/>
        <v/>
      </c>
      <c r="U33" s="23" t="str">
        <f t="shared" si="10"/>
        <v/>
      </c>
      <c r="V33" s="23" t="str">
        <f t="shared" si="10"/>
        <v/>
      </c>
      <c r="W33" s="23" t="str">
        <f t="shared" si="11"/>
        <v/>
      </c>
      <c r="X33" s="23"/>
      <c r="Y33" s="57" t="str">
        <f t="shared" si="12"/>
        <v/>
      </c>
      <c r="Z33" t="str">
        <f t="shared" si="13"/>
        <v/>
      </c>
      <c r="AA33" t="str">
        <f t="shared" si="14"/>
        <v/>
      </c>
      <c r="AB33" t="str">
        <f t="shared" si="15"/>
        <v/>
      </c>
      <c r="AC33" t="str">
        <f t="shared" si="16"/>
        <v/>
      </c>
      <c r="AD33" t="str">
        <f t="shared" si="17"/>
        <v/>
      </c>
      <c r="AE33" t="str">
        <f t="shared" si="18"/>
        <v/>
      </c>
      <c r="AF33" t="str">
        <f t="shared" si="19"/>
        <v/>
      </c>
      <c r="AG33" t="str">
        <f t="shared" si="20"/>
        <v/>
      </c>
      <c r="AH33" t="str">
        <f t="shared" si="21"/>
        <v/>
      </c>
      <c r="AI33" t="str">
        <f t="shared" si="22"/>
        <v/>
      </c>
      <c r="AJ33" t="str">
        <f t="shared" si="23"/>
        <v/>
      </c>
      <c r="AK33" t="str">
        <f t="shared" si="24"/>
        <v/>
      </c>
      <c r="AL33" t="str">
        <f t="shared" si="25"/>
        <v/>
      </c>
      <c r="AM33" t="str">
        <f t="shared" si="26"/>
        <v/>
      </c>
      <c r="AN33" t="str">
        <f t="shared" si="27"/>
        <v/>
      </c>
      <c r="AO33" t="str">
        <f t="shared" si="27"/>
        <v/>
      </c>
      <c r="AQ33" s="41">
        <v>22</v>
      </c>
      <c r="AR33" s="36">
        <f>Tabulka135[[#This Row],[Race no.]]</f>
        <v>22</v>
      </c>
      <c r="AS33" s="42" t="str">
        <f>Tabulka135[[#This Row],[Surname and name]]</f>
        <v>Šimon Prágr</v>
      </c>
      <c r="AT33" s="40" t="str">
        <f>Tabulka135[[#This Row],[Team]]</f>
        <v>Dacom Pharma Kyjov</v>
      </c>
      <c r="AU33" s="40">
        <f>Tabulka135[[#This Row],[UCI ID]]</f>
        <v>10112045993</v>
      </c>
      <c r="AV33" s="36" t="e">
        <f>#REF!</f>
        <v>#REF!</v>
      </c>
      <c r="AW33" s="36" t="e">
        <f>#REF!</f>
        <v>#REF!</v>
      </c>
      <c r="AX33">
        <f>Tabulka135[[#This Row],[Body_bod]]</f>
        <v>0</v>
      </c>
    </row>
    <row r="34" spans="1:50" ht="15.75">
      <c r="A34" s="14">
        <f>RANK(Tabulka135[[#This Row],[Body_bod]],Tabulka135[Body_bod],0)</f>
        <v>1</v>
      </c>
      <c r="B34" s="44">
        <v>30</v>
      </c>
      <c r="C34" s="15">
        <v>10118951585</v>
      </c>
      <c r="D34" s="16" t="s">
        <v>383</v>
      </c>
      <c r="E34" s="17" t="s">
        <v>384</v>
      </c>
      <c r="F34" s="18"/>
      <c r="G34" s="49">
        <f>IFERROR(VLOOKUP(Tabulka135[[#This Row],[Race no.]],Vylučovačka!D:E,2,FALSE),"x")</f>
        <v>23</v>
      </c>
      <c r="H34" s="20">
        <f>IFERROR(VLOOKUP(G34,List1!B:C,2,FALSE),0)</f>
        <v>1</v>
      </c>
      <c r="I34" s="22">
        <f t="shared" si="0"/>
        <v>0</v>
      </c>
      <c r="J34" s="50">
        <f>IFERROR(VLOOKUP(Tabulka135[[#This Row],[Race no.]],Bodovacka!D:E,2,FALSE),"x")</f>
        <v>15</v>
      </c>
      <c r="K34" s="22">
        <f t="shared" si="1"/>
        <v>0</v>
      </c>
      <c r="L34" s="23" t="str">
        <f t="shared" si="2"/>
        <v/>
      </c>
      <c r="M34" s="23" t="str">
        <f t="shared" si="3"/>
        <v/>
      </c>
      <c r="N34" s="23" t="str">
        <f t="shared" si="4"/>
        <v/>
      </c>
      <c r="O34" s="23" t="str">
        <f t="shared" si="5"/>
        <v/>
      </c>
      <c r="P34" s="23" t="str">
        <f t="shared" si="6"/>
        <v/>
      </c>
      <c r="Q34" s="23" t="str">
        <f t="shared" si="7"/>
        <v/>
      </c>
      <c r="R34" s="23" t="str">
        <f t="shared" si="8"/>
        <v/>
      </c>
      <c r="S34" s="23" t="str">
        <f t="shared" si="9"/>
        <v/>
      </c>
      <c r="T34" s="23" t="str">
        <f t="shared" si="10"/>
        <v/>
      </c>
      <c r="U34" s="23" t="str">
        <f t="shared" si="10"/>
        <v/>
      </c>
      <c r="V34" s="23" t="str">
        <f t="shared" si="10"/>
        <v/>
      </c>
      <c r="W34" s="23" t="str">
        <f t="shared" si="11"/>
        <v/>
      </c>
      <c r="X34" s="23"/>
      <c r="Y34" s="57" t="str">
        <f t="shared" si="12"/>
        <v/>
      </c>
      <c r="Z34" s="29" t="str">
        <f t="shared" si="13"/>
        <v/>
      </c>
      <c r="AA34" s="29" t="str">
        <f t="shared" si="14"/>
        <v/>
      </c>
      <c r="AB34" s="29" t="str">
        <f t="shared" si="15"/>
        <v/>
      </c>
      <c r="AC34" t="str">
        <f t="shared" si="16"/>
        <v/>
      </c>
      <c r="AD34" t="str">
        <f t="shared" si="17"/>
        <v/>
      </c>
      <c r="AE34" t="str">
        <f t="shared" si="18"/>
        <v/>
      </c>
      <c r="AF34" t="str">
        <f t="shared" si="19"/>
        <v/>
      </c>
      <c r="AG34" t="str">
        <f t="shared" si="20"/>
        <v/>
      </c>
      <c r="AH34" t="str">
        <f t="shared" si="21"/>
        <v/>
      </c>
      <c r="AI34" t="str">
        <f t="shared" si="22"/>
        <v/>
      </c>
      <c r="AJ34" t="str">
        <f t="shared" si="23"/>
        <v/>
      </c>
      <c r="AK34" t="str">
        <f t="shared" si="24"/>
        <v/>
      </c>
      <c r="AL34" t="str">
        <f t="shared" si="25"/>
        <v/>
      </c>
      <c r="AM34" t="str">
        <f t="shared" si="26"/>
        <v/>
      </c>
      <c r="AN34" t="str">
        <f t="shared" si="27"/>
        <v/>
      </c>
      <c r="AO34" t="str">
        <f t="shared" si="27"/>
        <v/>
      </c>
      <c r="AQ34" s="41">
        <v>23</v>
      </c>
      <c r="AR34" s="36">
        <f>Tabulka135[[#This Row],[Race no.]]</f>
        <v>30</v>
      </c>
      <c r="AS34" s="42" t="str">
        <f>Tabulka135[[#This Row],[Surname and name]]</f>
        <v>Semih SCHRENK</v>
      </c>
      <c r="AT34" s="40" t="str">
        <f>Tabulka135[[#This Row],[Team]]</f>
        <v>Wien</v>
      </c>
      <c r="AU34" s="40">
        <f>Tabulka135[[#This Row],[UCI ID]]</f>
        <v>10118951585</v>
      </c>
      <c r="AV34" s="36" t="e">
        <f>#REF!</f>
        <v>#REF!</v>
      </c>
      <c r="AW34" s="36" t="e">
        <f>#REF!</f>
        <v>#REF!</v>
      </c>
      <c r="AX34">
        <f>Tabulka135[[#This Row],[Body_bod]]</f>
        <v>0</v>
      </c>
    </row>
    <row r="35" spans="1:50" ht="15.75">
      <c r="A35" s="14">
        <f>RANK(Tabulka135[[#This Row],[Body_bod]],Tabulka135[Body_bod],0)</f>
        <v>1</v>
      </c>
      <c r="B35" s="44">
        <v>1</v>
      </c>
      <c r="C35" s="15">
        <v>10130649280</v>
      </c>
      <c r="D35" s="16" t="s">
        <v>340</v>
      </c>
      <c r="E35" s="17" t="s">
        <v>341</v>
      </c>
      <c r="F35" s="18" t="s">
        <v>342</v>
      </c>
      <c r="G35" s="49">
        <f>IFERROR(VLOOKUP(Tabulka135[[#This Row],[Race no.]],Vylučovačka!D:E,2,FALSE),"x")</f>
        <v>24</v>
      </c>
      <c r="H35" s="20">
        <f>IFERROR(VLOOKUP(G35,List1!B:C,2,FALSE),0)</f>
        <v>1</v>
      </c>
      <c r="I35" s="22">
        <f t="shared" si="0"/>
        <v>0</v>
      </c>
      <c r="J35" s="50">
        <f>IFERROR(VLOOKUP(Tabulka135[[#This Row],[Race no.]],Bodovacka!D:E,2,FALSE),"x")</f>
        <v>25</v>
      </c>
      <c r="K35" s="22">
        <f t="shared" si="1"/>
        <v>0</v>
      </c>
      <c r="L35" s="23" t="str">
        <f t="shared" si="2"/>
        <v/>
      </c>
      <c r="M35" s="23" t="str">
        <f t="shared" si="3"/>
        <v/>
      </c>
      <c r="N35" s="23" t="str">
        <f t="shared" si="4"/>
        <v/>
      </c>
      <c r="O35" s="23" t="str">
        <f t="shared" si="5"/>
        <v/>
      </c>
      <c r="P35" s="23" t="str">
        <f t="shared" si="6"/>
        <v/>
      </c>
      <c r="Q35" s="23" t="str">
        <f t="shared" si="7"/>
        <v/>
      </c>
      <c r="R35" s="23" t="str">
        <f t="shared" si="8"/>
        <v/>
      </c>
      <c r="S35" s="23" t="str">
        <f t="shared" si="9"/>
        <v/>
      </c>
      <c r="T35" s="23" t="str">
        <f t="shared" si="10"/>
        <v/>
      </c>
      <c r="U35" s="23" t="str">
        <f t="shared" si="10"/>
        <v/>
      </c>
      <c r="V35" s="23" t="str">
        <f t="shared" si="10"/>
        <v/>
      </c>
      <c r="W35" s="23" t="str">
        <f t="shared" si="11"/>
        <v/>
      </c>
      <c r="X35" s="23"/>
      <c r="Y35" s="57" t="str">
        <f t="shared" si="12"/>
        <v/>
      </c>
      <c r="Z35" s="29" t="str">
        <f t="shared" si="13"/>
        <v/>
      </c>
      <c r="AA35" s="29" t="str">
        <f t="shared" si="14"/>
        <v/>
      </c>
      <c r="AB35" s="29" t="str">
        <f t="shared" si="15"/>
        <v/>
      </c>
      <c r="AC35" t="str">
        <f t="shared" si="16"/>
        <v/>
      </c>
      <c r="AD35" t="str">
        <f t="shared" si="17"/>
        <v/>
      </c>
      <c r="AE35" t="str">
        <f t="shared" si="18"/>
        <v/>
      </c>
      <c r="AF35" t="str">
        <f t="shared" si="19"/>
        <v/>
      </c>
      <c r="AG35" t="str">
        <f t="shared" si="20"/>
        <v/>
      </c>
      <c r="AH35" t="str">
        <f t="shared" si="21"/>
        <v/>
      </c>
      <c r="AI35" t="str">
        <f t="shared" si="22"/>
        <v/>
      </c>
      <c r="AJ35" t="str">
        <f t="shared" si="23"/>
        <v/>
      </c>
      <c r="AK35" t="str">
        <f t="shared" si="24"/>
        <v/>
      </c>
      <c r="AL35" t="str">
        <f t="shared" si="25"/>
        <v/>
      </c>
      <c r="AM35" t="str">
        <f t="shared" si="26"/>
        <v/>
      </c>
      <c r="AN35" t="str">
        <f t="shared" si="27"/>
        <v/>
      </c>
      <c r="AO35" t="str">
        <f t="shared" si="27"/>
        <v/>
      </c>
      <c r="AQ35" s="41">
        <v>24</v>
      </c>
      <c r="AR35" s="36">
        <f>Tabulka135[[#This Row],[Race no.]]</f>
        <v>1</v>
      </c>
      <c r="AS35" s="42" t="str">
        <f>Tabulka135[[#This Row],[Surname and name]]</f>
        <v>Jakub DEDEK</v>
      </c>
      <c r="AT35" s="40" t="str">
        <f>Tabulka135[[#This Row],[Team]]</f>
        <v>TUFO PARDUS Prostějov z.s.</v>
      </c>
      <c r="AU35" s="40">
        <f>Tabulka135[[#This Row],[UCI ID]]</f>
        <v>10130649280</v>
      </c>
      <c r="AV35" s="36" t="e">
        <f>#REF!</f>
        <v>#REF!</v>
      </c>
      <c r="AW35" s="36" t="e">
        <f>#REF!</f>
        <v>#REF!</v>
      </c>
      <c r="AX35">
        <f>Tabulka135[[#This Row],[Body_prv]]</f>
        <v>0</v>
      </c>
    </row>
    <row r="36" spans="1:50" ht="15.75">
      <c r="A36" s="14">
        <f>RANK(Tabulka135[[#This Row],[Body_bod]],Tabulka135[Body_bod],0)</f>
        <v>1</v>
      </c>
      <c r="B36" s="44">
        <v>21</v>
      </c>
      <c r="C36" s="15">
        <v>10136844247</v>
      </c>
      <c r="D36" s="16" t="s">
        <v>365</v>
      </c>
      <c r="E36" s="17" t="s">
        <v>366</v>
      </c>
      <c r="F36" s="18" t="s">
        <v>367</v>
      </c>
      <c r="G36" s="49">
        <f>IFERROR(VLOOKUP(Tabulka135[[#This Row],[Race no.]],Vylučovačka!D:E,2,FALSE),"x")</f>
        <v>25</v>
      </c>
      <c r="H36" s="20">
        <f>IFERROR(VLOOKUP(G36,List1!B:C,2,FALSE),0)</f>
        <v>1</v>
      </c>
      <c r="I36" s="22">
        <f t="shared" si="0"/>
        <v>0</v>
      </c>
      <c r="J36" s="50">
        <f>IFERROR(VLOOKUP(Tabulka135[[#This Row],[Race no.]],Bodovacka!D:E,2,FALSE),"x")</f>
        <v>19</v>
      </c>
      <c r="K36" s="22">
        <f t="shared" si="1"/>
        <v>0</v>
      </c>
      <c r="L36" s="23" t="str">
        <f t="shared" si="2"/>
        <v/>
      </c>
      <c r="M36" s="23" t="str">
        <f t="shared" si="3"/>
        <v/>
      </c>
      <c r="N36" s="23" t="str">
        <f t="shared" si="4"/>
        <v/>
      </c>
      <c r="O36" s="23" t="str">
        <f t="shared" si="5"/>
        <v/>
      </c>
      <c r="P36" s="23" t="str">
        <f t="shared" si="6"/>
        <v/>
      </c>
      <c r="Q36" s="23" t="str">
        <f t="shared" si="7"/>
        <v/>
      </c>
      <c r="R36" s="23" t="str">
        <f t="shared" si="8"/>
        <v/>
      </c>
      <c r="S36" s="23" t="str">
        <f t="shared" si="9"/>
        <v/>
      </c>
      <c r="T36" s="23" t="str">
        <f t="shared" si="10"/>
        <v/>
      </c>
      <c r="U36" s="23" t="str">
        <f t="shared" si="10"/>
        <v/>
      </c>
      <c r="V36" s="23" t="str">
        <f t="shared" si="10"/>
        <v/>
      </c>
      <c r="W36" s="23" t="str">
        <f t="shared" si="11"/>
        <v/>
      </c>
      <c r="X36" s="23"/>
      <c r="Y36" s="57" t="str">
        <f t="shared" si="12"/>
        <v/>
      </c>
      <c r="Z36" t="str">
        <f t="shared" si="13"/>
        <v/>
      </c>
      <c r="AA36" t="str">
        <f t="shared" si="14"/>
        <v/>
      </c>
      <c r="AB36" t="str">
        <f t="shared" si="15"/>
        <v/>
      </c>
      <c r="AC36" t="str">
        <f t="shared" si="16"/>
        <v/>
      </c>
      <c r="AD36" t="str">
        <f t="shared" si="17"/>
        <v/>
      </c>
      <c r="AE36" t="str">
        <f t="shared" si="18"/>
        <v/>
      </c>
      <c r="AF36" t="str">
        <f t="shared" si="19"/>
        <v/>
      </c>
      <c r="AG36" t="str">
        <f t="shared" si="20"/>
        <v/>
      </c>
      <c r="AH36" t="str">
        <f t="shared" si="21"/>
        <v/>
      </c>
      <c r="AI36" t="str">
        <f t="shared" si="22"/>
        <v/>
      </c>
      <c r="AJ36" t="str">
        <f t="shared" si="23"/>
        <v/>
      </c>
      <c r="AK36" t="str">
        <f t="shared" si="24"/>
        <v/>
      </c>
      <c r="AL36" t="str">
        <f t="shared" si="25"/>
        <v/>
      </c>
      <c r="AM36" t="str">
        <f t="shared" si="26"/>
        <v/>
      </c>
      <c r="AN36" t="str">
        <f t="shared" si="27"/>
        <v/>
      </c>
      <c r="AO36" t="str">
        <f t="shared" si="27"/>
        <v/>
      </c>
      <c r="AQ36" s="41">
        <v>25</v>
      </c>
      <c r="AR36" s="36">
        <f>Tabulka135[[#This Row],[Race no.]]</f>
        <v>21</v>
      </c>
      <c r="AS36" s="42" t="str">
        <f>Tabulka135[[#This Row],[Surname and name]]</f>
        <v>Fred STEINDL</v>
      </c>
      <c r="AT36" s="40" t="str">
        <f>Tabulka135[[#This Row],[Team]]</f>
        <v>RLM Wien</v>
      </c>
      <c r="AU36" s="40">
        <f>Tabulka135[[#This Row],[UCI ID]]</f>
        <v>10136844247</v>
      </c>
      <c r="AV36" s="36" t="e">
        <f>#REF!</f>
        <v>#REF!</v>
      </c>
      <c r="AW36" s="36" t="e">
        <f>#REF!</f>
        <v>#REF!</v>
      </c>
      <c r="AX36">
        <f>Tabulka135[[#This Row],[Body_bod]]</f>
        <v>0</v>
      </c>
    </row>
    <row r="37" spans="1:50" ht="15.75">
      <c r="A37" s="14">
        <f>RANK(Tabulka135[[#This Row],[Body_bod]],Tabulka135[Body_bod],0)</f>
        <v>1</v>
      </c>
      <c r="B37" s="44">
        <v>23</v>
      </c>
      <c r="C37" s="15">
        <v>10112046401</v>
      </c>
      <c r="D37" s="16" t="s">
        <v>370</v>
      </c>
      <c r="E37" s="17" t="s">
        <v>385</v>
      </c>
      <c r="F37" s="18" t="s">
        <v>345</v>
      </c>
      <c r="G37" s="49">
        <f>IFERROR(VLOOKUP(Tabulka135[[#This Row],[Race no.]],Vylučovačka!D:E,2,FALSE),"x")</f>
        <v>26</v>
      </c>
      <c r="H37" s="20">
        <f>IFERROR(VLOOKUP(G37,List1!B:C,2,FALSE),0)</f>
        <v>1</v>
      </c>
      <c r="I37" s="22">
        <f t="shared" si="0"/>
        <v>0</v>
      </c>
      <c r="J37" s="50">
        <f>IFERROR(VLOOKUP(Tabulka135[[#This Row],[Race no.]],Bodovacka!D:E,2,FALSE),"x")</f>
        <v>24</v>
      </c>
      <c r="K37" s="22">
        <f t="shared" si="1"/>
        <v>0</v>
      </c>
      <c r="L37" s="23" t="str">
        <f t="shared" si="2"/>
        <v/>
      </c>
      <c r="M37" s="23" t="str">
        <f t="shared" si="3"/>
        <v/>
      </c>
      <c r="N37" s="23" t="str">
        <f t="shared" si="4"/>
        <v/>
      </c>
      <c r="O37" s="23" t="str">
        <f t="shared" si="5"/>
        <v/>
      </c>
      <c r="P37" s="23" t="str">
        <f t="shared" si="6"/>
        <v/>
      </c>
      <c r="Q37" s="23" t="str">
        <f t="shared" si="7"/>
        <v/>
      </c>
      <c r="R37" s="23" t="str">
        <f t="shared" si="8"/>
        <v/>
      </c>
      <c r="S37" s="23" t="str">
        <f t="shared" si="9"/>
        <v/>
      </c>
      <c r="T37" s="23" t="str">
        <f t="shared" si="10"/>
        <v/>
      </c>
      <c r="U37" s="23" t="str">
        <f t="shared" si="10"/>
        <v/>
      </c>
      <c r="V37" s="23" t="str">
        <f t="shared" si="10"/>
        <v/>
      </c>
      <c r="W37" s="23" t="str">
        <f t="shared" si="11"/>
        <v/>
      </c>
      <c r="X37" s="23"/>
      <c r="Y37" s="57" t="str">
        <f t="shared" si="12"/>
        <v/>
      </c>
      <c r="Z37" t="str">
        <f t="shared" si="13"/>
        <v/>
      </c>
      <c r="AA37" t="str">
        <f t="shared" si="14"/>
        <v/>
      </c>
      <c r="AB37" t="str">
        <f t="shared" si="15"/>
        <v/>
      </c>
      <c r="AC37" t="str">
        <f t="shared" si="16"/>
        <v/>
      </c>
      <c r="AD37" t="str">
        <f t="shared" si="17"/>
        <v/>
      </c>
      <c r="AE37" t="str">
        <f t="shared" si="18"/>
        <v/>
      </c>
      <c r="AF37" t="str">
        <f t="shared" si="19"/>
        <v/>
      </c>
      <c r="AG37" t="str">
        <f t="shared" si="20"/>
        <v/>
      </c>
      <c r="AH37" t="str">
        <f t="shared" si="21"/>
        <v/>
      </c>
      <c r="AI37" t="str">
        <f t="shared" si="22"/>
        <v/>
      </c>
      <c r="AJ37" t="str">
        <f t="shared" si="23"/>
        <v/>
      </c>
      <c r="AK37" t="str">
        <f t="shared" si="24"/>
        <v/>
      </c>
      <c r="AL37" t="str">
        <f t="shared" si="25"/>
        <v/>
      </c>
      <c r="AM37" t="str">
        <f t="shared" si="26"/>
        <v/>
      </c>
      <c r="AN37" t="str">
        <f t="shared" si="27"/>
        <v/>
      </c>
      <c r="AO37" t="str">
        <f t="shared" si="27"/>
        <v/>
      </c>
      <c r="AQ37" s="41">
        <v>26</v>
      </c>
      <c r="AR37" s="36">
        <f>Tabulka135[[#This Row],[Race no.]]</f>
        <v>23</v>
      </c>
      <c r="AS37" s="42" t="str">
        <f>Tabulka135[[#This Row],[Surname and name]]</f>
        <v>Šimon Dvořák</v>
      </c>
      <c r="AT37" s="40" t="str">
        <f>Tabulka135[[#This Row],[Team]]</f>
        <v>Dacom Pharma Kyjov</v>
      </c>
      <c r="AU37" s="40">
        <f>Tabulka135[[#This Row],[UCI ID]]</f>
        <v>10112046401</v>
      </c>
      <c r="AV37" s="36" t="e">
        <f>#REF!</f>
        <v>#REF!</v>
      </c>
      <c r="AW37" s="36" t="e">
        <f>#REF!</f>
        <v>#REF!</v>
      </c>
      <c r="AX37">
        <f>Tabulka135[[#This Row],[Body_bod]]</f>
        <v>0</v>
      </c>
    </row>
    <row r="38" spans="1:50" ht="15.75">
      <c r="A38" s="14">
        <f>RANK(Tabulka135[[#This Row],[Body_bod]],Tabulka135[Body_bod],0)</f>
        <v>1</v>
      </c>
      <c r="B38" s="44">
        <v>3</v>
      </c>
      <c r="C38" s="15">
        <v>10047326280</v>
      </c>
      <c r="D38" s="16" t="s">
        <v>343</v>
      </c>
      <c r="E38" s="17" t="s">
        <v>344</v>
      </c>
      <c r="F38" s="18" t="s">
        <v>345</v>
      </c>
      <c r="G38" s="49" t="s">
        <v>83</v>
      </c>
      <c r="H38" s="20">
        <f>IFERROR(VLOOKUP(G38,List1!B:C,2,FALSE),0)</f>
        <v>-40</v>
      </c>
      <c r="I38" s="22">
        <f t="shared" si="0"/>
        <v>0</v>
      </c>
      <c r="J38" s="50" t="str">
        <f>IFERROR(VLOOKUP(Tabulka135[[#This Row],[Race no.]],Bodovacka!D:E,2,FALSE),"x")</f>
        <v>x</v>
      </c>
      <c r="K38" s="22">
        <f t="shared" si="1"/>
        <v>0</v>
      </c>
      <c r="L38" s="23" t="str">
        <f t="shared" si="2"/>
        <v/>
      </c>
      <c r="M38" s="23" t="str">
        <f t="shared" si="3"/>
        <v/>
      </c>
      <c r="N38" s="23" t="str">
        <f t="shared" si="4"/>
        <v/>
      </c>
      <c r="O38" s="23" t="str">
        <f t="shared" si="5"/>
        <v/>
      </c>
      <c r="P38" s="23" t="str">
        <f t="shared" si="6"/>
        <v/>
      </c>
      <c r="Q38" s="23" t="str">
        <f t="shared" si="7"/>
        <v/>
      </c>
      <c r="R38" s="23" t="str">
        <f t="shared" si="8"/>
        <v/>
      </c>
      <c r="S38" s="23" t="str">
        <f t="shared" si="9"/>
        <v/>
      </c>
      <c r="T38" s="23" t="str">
        <f t="shared" si="10"/>
        <v/>
      </c>
      <c r="U38" s="23" t="str">
        <f t="shared" si="10"/>
        <v/>
      </c>
      <c r="V38" s="23" t="str">
        <f t="shared" si="10"/>
        <v/>
      </c>
      <c r="W38" s="23" t="str">
        <f t="shared" si="11"/>
        <v/>
      </c>
      <c r="X38" s="23"/>
      <c r="Y38" s="57" t="str">
        <f t="shared" si="12"/>
        <v/>
      </c>
      <c r="Z38" t="str">
        <f t="shared" si="13"/>
        <v/>
      </c>
      <c r="AA38" t="str">
        <f t="shared" si="14"/>
        <v/>
      </c>
      <c r="AB38" t="str">
        <f t="shared" si="15"/>
        <v/>
      </c>
      <c r="AC38" t="str">
        <f t="shared" si="16"/>
        <v/>
      </c>
      <c r="AD38" t="str">
        <f t="shared" si="17"/>
        <v/>
      </c>
      <c r="AE38" t="str">
        <f t="shared" si="18"/>
        <v/>
      </c>
      <c r="AF38" t="str">
        <f t="shared" si="19"/>
        <v/>
      </c>
      <c r="AG38" t="str">
        <f t="shared" si="20"/>
        <v/>
      </c>
      <c r="AH38" t="str">
        <f t="shared" si="21"/>
        <v/>
      </c>
      <c r="AI38" t="str">
        <f t="shared" si="22"/>
        <v/>
      </c>
      <c r="AJ38" t="str">
        <f t="shared" si="23"/>
        <v/>
      </c>
      <c r="AK38" t="str">
        <f t="shared" si="24"/>
        <v/>
      </c>
      <c r="AL38" t="str">
        <f t="shared" si="25"/>
        <v/>
      </c>
      <c r="AM38" t="str">
        <f t="shared" si="26"/>
        <v/>
      </c>
      <c r="AN38" t="str">
        <f t="shared" si="27"/>
        <v/>
      </c>
      <c r="AO38" t="str">
        <f t="shared" si="27"/>
        <v/>
      </c>
      <c r="AQ38" s="41" t="s">
        <v>83</v>
      </c>
      <c r="AR38" s="36">
        <f>Tabulka135[[#This Row],[Race no.]]</f>
        <v>3</v>
      </c>
      <c r="AS38" s="42" t="str">
        <f>Tabulka135[[#This Row],[Surname and name]]</f>
        <v>Vojtěch BEČKA</v>
      </c>
      <c r="AT38" s="40" t="str">
        <f>Tabulka135[[#This Row],[Team]]</f>
        <v>TJ STADION LOUNY</v>
      </c>
      <c r="AU38" s="40">
        <f>Tabulka135[[#This Row],[UCI ID]]</f>
        <v>10047326280</v>
      </c>
      <c r="AV38" s="36" t="e">
        <f>#REF!</f>
        <v>#REF!</v>
      </c>
      <c r="AW38" s="36" t="e">
        <f>#REF!</f>
        <v>#REF!</v>
      </c>
      <c r="AX38">
        <f>Tabulka135[[#This Row],[Body_bod]]</f>
        <v>0</v>
      </c>
    </row>
    <row r="39" spans="1:50" ht="15.75">
      <c r="A39" s="14">
        <f>RANK(Tabulka135[[#This Row],[Body_bod]],Tabulka135[Body_bod],0)</f>
        <v>1</v>
      </c>
      <c r="B39" s="44"/>
      <c r="C39" s="15"/>
      <c r="D39" s="16"/>
      <c r="E39" s="17"/>
      <c r="F39" s="18"/>
      <c r="G39" s="49" t="str">
        <f>IFERROR(VLOOKUP(Tabulka135[[#This Row],[Race no.]],Vylučovačka!D:E,2,FALSE),"x")</f>
        <v>x</v>
      </c>
      <c r="H39" s="20">
        <f>IFERROR(VLOOKUP(G39,List1!B:C,2,FALSE),0)</f>
        <v>0</v>
      </c>
      <c r="I39" s="22">
        <f t="shared" si="0"/>
        <v>0</v>
      </c>
      <c r="J39" s="50" t="str">
        <f>IFERROR(VLOOKUP(Tabulka135[[#This Row],[Race no.]],Bodovacka!D:E,2,FALSE),"x")</f>
        <v>x</v>
      </c>
      <c r="K39" s="22">
        <f t="shared" si="1"/>
        <v>0</v>
      </c>
      <c r="L39" s="23" t="str">
        <f t="shared" si="2"/>
        <v/>
      </c>
      <c r="M39" s="23" t="str">
        <f t="shared" si="3"/>
        <v/>
      </c>
      <c r="N39" s="23" t="str">
        <f t="shared" si="4"/>
        <v/>
      </c>
      <c r="O39" s="23" t="str">
        <f t="shared" si="5"/>
        <v/>
      </c>
      <c r="P39" s="23" t="str">
        <f t="shared" si="6"/>
        <v/>
      </c>
      <c r="Q39" s="23" t="str">
        <f t="shared" si="7"/>
        <v/>
      </c>
      <c r="R39" s="23" t="str">
        <f t="shared" si="8"/>
        <v/>
      </c>
      <c r="S39" s="23" t="str">
        <f t="shared" si="9"/>
        <v/>
      </c>
      <c r="T39" s="23" t="str">
        <f t="shared" si="10"/>
        <v/>
      </c>
      <c r="U39" s="23" t="str">
        <f t="shared" si="10"/>
        <v/>
      </c>
      <c r="V39" s="23" t="str">
        <f t="shared" si="10"/>
        <v/>
      </c>
      <c r="W39" s="23" t="str">
        <f t="shared" si="11"/>
        <v/>
      </c>
      <c r="X39" s="23"/>
      <c r="Y39" s="57" t="str">
        <f t="shared" si="12"/>
        <v/>
      </c>
      <c r="Z39" t="str">
        <f t="shared" si="13"/>
        <v/>
      </c>
      <c r="AA39" t="str">
        <f t="shared" si="14"/>
        <v/>
      </c>
      <c r="AB39" t="str">
        <f t="shared" si="15"/>
        <v/>
      </c>
      <c r="AC39" t="str">
        <f t="shared" si="16"/>
        <v/>
      </c>
      <c r="AD39" t="str">
        <f t="shared" si="17"/>
        <v/>
      </c>
      <c r="AE39" t="str">
        <f t="shared" si="18"/>
        <v/>
      </c>
      <c r="AF39" t="str">
        <f t="shared" si="19"/>
        <v/>
      </c>
      <c r="AG39" t="str">
        <f t="shared" si="20"/>
        <v/>
      </c>
      <c r="AH39" t="str">
        <f t="shared" si="21"/>
        <v/>
      </c>
      <c r="AI39" t="str">
        <f t="shared" si="22"/>
        <v/>
      </c>
      <c r="AJ39" t="str">
        <f t="shared" si="23"/>
        <v/>
      </c>
      <c r="AK39" t="str">
        <f t="shared" si="24"/>
        <v/>
      </c>
      <c r="AL39" t="str">
        <f t="shared" si="25"/>
        <v/>
      </c>
      <c r="AM39" t="str">
        <f t="shared" si="26"/>
        <v/>
      </c>
      <c r="AN39" t="str">
        <f t="shared" si="27"/>
        <v/>
      </c>
      <c r="AO39" t="str">
        <f t="shared" si="27"/>
        <v/>
      </c>
      <c r="AQ39" s="41"/>
      <c r="AR39" s="36"/>
      <c r="AS39" s="42"/>
      <c r="AT39" s="40"/>
      <c r="AU39" s="40"/>
      <c r="AV39" s="36" t="e">
        <f>#REF!</f>
        <v>#REF!</v>
      </c>
      <c r="AW39" s="36" t="e">
        <f>#REF!</f>
        <v>#REF!</v>
      </c>
      <c r="AX39" t="s">
        <v>83</v>
      </c>
    </row>
    <row r="40" spans="1:50">
      <c r="A40" s="24" t="s">
        <v>79</v>
      </c>
      <c r="B40" s="24"/>
      <c r="C40" s="24"/>
      <c r="D40" s="24">
        <f>COUNT(Tabulka135[Race no.])</f>
        <v>27</v>
      </c>
      <c r="E40" s="24"/>
      <c r="F40" s="25"/>
      <c r="G40" s="27"/>
      <c r="H40" s="27"/>
    </row>
    <row r="42" spans="1:50">
      <c r="AQ42" t="s">
        <v>80</v>
      </c>
      <c r="AT42" s="54">
        <f>D40</f>
        <v>27</v>
      </c>
    </row>
  </sheetData>
  <mergeCells count="11">
    <mergeCell ref="AV6:AW6"/>
    <mergeCell ref="A1:H1"/>
    <mergeCell ref="A3:D3"/>
    <mergeCell ref="G3:H3"/>
    <mergeCell ref="A4:H4"/>
    <mergeCell ref="AQ4:AX4"/>
    <mergeCell ref="AS5:AT5"/>
    <mergeCell ref="G6:H6"/>
    <mergeCell ref="I6:J6"/>
    <mergeCell ref="L6:W6"/>
    <mergeCell ref="Y6:AO6"/>
  </mergeCells>
  <pageMargins left="0.7" right="0.7" top="0.75" bottom="0.75" header="0.51180555555555496" footer="0.51180555555555496"/>
  <pageSetup paperSize="9" firstPageNumber="0" fitToHeight="0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7CC46-C09A-4997-9282-3E4BFB153CBA}">
  <dimension ref="D2:E42"/>
  <sheetViews>
    <sheetView workbookViewId="0">
      <selection activeCell="D15" sqref="D15"/>
    </sheetView>
  </sheetViews>
  <sheetFormatPr defaultRowHeight="15"/>
  <sheetData>
    <row r="2" spans="4:5">
      <c r="D2" t="s">
        <v>86</v>
      </c>
      <c r="E2" t="s">
        <v>85</v>
      </c>
    </row>
    <row r="3" spans="4:5">
      <c r="D3">
        <v>2</v>
      </c>
      <c r="E3">
        <v>1</v>
      </c>
    </row>
    <row r="4" spans="4:5">
      <c r="D4">
        <v>1</v>
      </c>
      <c r="E4">
        <v>2</v>
      </c>
    </row>
    <row r="5" spans="4:5">
      <c r="D5">
        <v>3</v>
      </c>
      <c r="E5">
        <v>3</v>
      </c>
    </row>
    <row r="6" spans="4:5">
      <c r="D6">
        <v>5</v>
      </c>
      <c r="E6">
        <v>4</v>
      </c>
    </row>
    <row r="7" spans="4:5">
      <c r="D7">
        <v>9</v>
      </c>
      <c r="E7">
        <v>5</v>
      </c>
    </row>
    <row r="8" spans="4:5">
      <c r="D8">
        <v>10</v>
      </c>
      <c r="E8">
        <v>6</v>
      </c>
    </row>
    <row r="9" spans="4:5">
      <c r="D9">
        <v>8</v>
      </c>
      <c r="E9">
        <v>7</v>
      </c>
    </row>
    <row r="10" spans="4:5">
      <c r="D10">
        <v>4</v>
      </c>
      <c r="E10">
        <v>8</v>
      </c>
    </row>
    <row r="11" spans="4:5">
      <c r="D11">
        <v>6</v>
      </c>
      <c r="E11">
        <v>9</v>
      </c>
    </row>
    <row r="12" spans="4:5">
      <c r="D12">
        <v>11</v>
      </c>
      <c r="E12">
        <v>10</v>
      </c>
    </row>
    <row r="13" spans="4:5">
      <c r="D13">
        <v>7</v>
      </c>
      <c r="E13">
        <v>11</v>
      </c>
    </row>
    <row r="14" spans="4:5">
      <c r="D14">
        <v>12</v>
      </c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6C524-EA9F-485F-B00F-1BCA0980330A}">
  <dimension ref="C2:E42"/>
  <sheetViews>
    <sheetView workbookViewId="0">
      <selection activeCell="D23" sqref="D23:D28"/>
    </sheetView>
  </sheetViews>
  <sheetFormatPr defaultRowHeight="15"/>
  <sheetData>
    <row r="2" spans="4:5">
      <c r="D2" t="s">
        <v>86</v>
      </c>
      <c r="E2" t="s">
        <v>85</v>
      </c>
    </row>
    <row r="3" spans="4:5">
      <c r="D3">
        <v>4</v>
      </c>
      <c r="E3">
        <v>1</v>
      </c>
    </row>
    <row r="4" spans="4:5">
      <c r="D4">
        <v>27</v>
      </c>
      <c r="E4">
        <v>2</v>
      </c>
    </row>
    <row r="5" spans="4:5">
      <c r="D5">
        <v>12</v>
      </c>
      <c r="E5">
        <v>3</v>
      </c>
    </row>
    <row r="6" spans="4:5">
      <c r="D6">
        <v>26</v>
      </c>
      <c r="E6">
        <v>4</v>
      </c>
    </row>
    <row r="7" spans="4:5">
      <c r="D7">
        <v>11</v>
      </c>
      <c r="E7">
        <v>5</v>
      </c>
    </row>
    <row r="8" spans="4:5">
      <c r="D8">
        <v>14</v>
      </c>
      <c r="E8">
        <v>6</v>
      </c>
    </row>
    <row r="9" spans="4:5">
      <c r="D9">
        <v>17</v>
      </c>
      <c r="E9">
        <v>7</v>
      </c>
    </row>
    <row r="10" spans="4:5">
      <c r="D10">
        <v>5</v>
      </c>
      <c r="E10">
        <v>8</v>
      </c>
    </row>
    <row r="11" spans="4:5">
      <c r="D11">
        <v>25</v>
      </c>
      <c r="E11">
        <v>9</v>
      </c>
    </row>
    <row r="12" spans="4:5">
      <c r="D12">
        <v>15</v>
      </c>
      <c r="E12">
        <v>10</v>
      </c>
    </row>
    <row r="13" spans="4:5">
      <c r="D13">
        <v>6</v>
      </c>
      <c r="E13">
        <v>11</v>
      </c>
    </row>
    <row r="14" spans="4:5">
      <c r="D14">
        <v>9</v>
      </c>
      <c r="E14">
        <v>12</v>
      </c>
    </row>
    <row r="15" spans="4:5">
      <c r="D15">
        <v>8</v>
      </c>
      <c r="E15">
        <v>13</v>
      </c>
    </row>
    <row r="16" spans="4:5">
      <c r="D16">
        <v>13</v>
      </c>
      <c r="E16">
        <v>14</v>
      </c>
    </row>
    <row r="17" spans="3:5">
      <c r="D17">
        <v>30</v>
      </c>
      <c r="E17">
        <v>15</v>
      </c>
    </row>
    <row r="18" spans="3:5">
      <c r="D18">
        <v>29</v>
      </c>
      <c r="E18">
        <v>16</v>
      </c>
    </row>
    <row r="19" spans="3:5">
      <c r="D19">
        <v>10</v>
      </c>
      <c r="E19">
        <v>17</v>
      </c>
    </row>
    <row r="20" spans="3:5">
      <c r="D20">
        <v>22</v>
      </c>
      <c r="E20">
        <v>18</v>
      </c>
    </row>
    <row r="21" spans="3:5">
      <c r="C21">
        <v>19</v>
      </c>
      <c r="D21">
        <v>21</v>
      </c>
      <c r="E21">
        <v>19</v>
      </c>
    </row>
    <row r="22" spans="3:5">
      <c r="D22">
        <v>16</v>
      </c>
      <c r="E22">
        <v>20</v>
      </c>
    </row>
    <row r="23" spans="3:5">
      <c r="D23">
        <v>18</v>
      </c>
      <c r="E23">
        <v>21</v>
      </c>
    </row>
    <row r="24" spans="3:5">
      <c r="D24">
        <v>28</v>
      </c>
      <c r="E24">
        <v>22</v>
      </c>
    </row>
    <row r="25" spans="3:5">
      <c r="D25">
        <v>7</v>
      </c>
      <c r="E25">
        <v>23</v>
      </c>
    </row>
    <row r="26" spans="3:5">
      <c r="D26">
        <v>23</v>
      </c>
      <c r="E26">
        <v>24</v>
      </c>
    </row>
    <row r="27" spans="3:5">
      <c r="D27">
        <v>1</v>
      </c>
      <c r="E27">
        <v>25</v>
      </c>
    </row>
    <row r="28" spans="3:5">
      <c r="D28">
        <v>19</v>
      </c>
      <c r="E28">
        <v>26</v>
      </c>
    </row>
    <row r="29" spans="3:5">
      <c r="E29">
        <v>27</v>
      </c>
    </row>
    <row r="30" spans="3:5">
      <c r="E30">
        <v>28</v>
      </c>
    </row>
    <row r="31" spans="3:5">
      <c r="E31">
        <v>29</v>
      </c>
    </row>
    <row r="32" spans="3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725E2-E48E-46B0-8C1A-8AFD491BE17E}">
  <sheetPr>
    <pageSetUpPr fitToPage="1"/>
  </sheetPr>
  <dimension ref="A1:AX42"/>
  <sheetViews>
    <sheetView tabSelected="1" zoomScale="115" zoomScaleNormal="115" workbookViewId="0">
      <pane xSplit="5" ySplit="11" topLeftCell="AP39" activePane="bottomRight" state="frozen"/>
      <selection pane="topRight"/>
      <selection pane="bottomLeft"/>
      <selection pane="bottomRight" activeCell="AQ40" sqref="AQ40:AT41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customWidth="1" outlineLevel="1"/>
    <col min="24" max="24" width="11.140625" customWidth="1"/>
    <col min="25" max="41" width="5.140625" hidden="1" customWidth="1" outlineLevel="1"/>
    <col min="42" max="42" width="5.140625" customWidth="1" collapsed="1"/>
    <col min="43" max="43" width="7" customWidth="1"/>
    <col min="44" max="44" width="5.42578125" customWidth="1"/>
    <col min="45" max="45" width="26.85546875" customWidth="1"/>
    <col min="46" max="46" width="27.7109375" customWidth="1"/>
    <col min="47" max="47" width="11.7109375" customWidth="1"/>
    <col min="48" max="48" width="4.85546875" hidden="1" customWidth="1"/>
    <col min="49" max="49" width="4.42578125" hidden="1" customWidth="1"/>
    <col min="50" max="50" width="7.85546875" customWidth="1"/>
    <col min="51" max="1016" width="8.85546875" customWidth="1"/>
  </cols>
  <sheetData>
    <row r="1" spans="1:50" s="2" customFormat="1" ht="128.25" customHeight="1" outlineLevel="2">
      <c r="A1" s="95" t="s">
        <v>0</v>
      </c>
      <c r="B1" s="95"/>
      <c r="C1" s="95"/>
      <c r="D1" s="95"/>
      <c r="E1" s="95"/>
      <c r="F1" s="95"/>
      <c r="G1" s="95"/>
      <c r="H1" s="95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>
        <v>14</v>
      </c>
      <c r="M2" s="46">
        <v>4</v>
      </c>
      <c r="N2" s="46">
        <v>18</v>
      </c>
      <c r="O2" s="46">
        <v>14</v>
      </c>
      <c r="P2" s="46">
        <v>4</v>
      </c>
      <c r="Q2" s="46"/>
      <c r="R2" s="46"/>
      <c r="S2" s="46"/>
      <c r="T2" s="46"/>
      <c r="U2" s="46"/>
      <c r="V2" s="46"/>
      <c r="W2" s="46">
        <v>4</v>
      </c>
      <c r="X2" s="52">
        <v>5</v>
      </c>
    </row>
    <row r="3" spans="1:50">
      <c r="A3" s="96" t="s">
        <v>335</v>
      </c>
      <c r="B3" s="96"/>
      <c r="C3" s="96"/>
      <c r="D3" s="96"/>
      <c r="F3" s="4"/>
      <c r="G3" s="97"/>
      <c r="H3" s="97"/>
      <c r="L3" s="46">
        <v>6</v>
      </c>
      <c r="M3" s="46">
        <v>28</v>
      </c>
      <c r="N3" s="46">
        <v>14</v>
      </c>
      <c r="O3" s="46">
        <v>4</v>
      </c>
      <c r="P3" s="46">
        <v>27</v>
      </c>
      <c r="Q3" s="46"/>
      <c r="R3" s="46"/>
      <c r="S3" s="46"/>
      <c r="T3" s="46"/>
      <c r="U3" s="46"/>
      <c r="V3" s="46"/>
      <c r="W3" s="46">
        <v>27</v>
      </c>
      <c r="X3" s="52">
        <v>3</v>
      </c>
      <c r="AQ3" t="str">
        <f>A3</f>
        <v>Datum / Date: 8. 8. 2023</v>
      </c>
    </row>
    <row r="4" spans="1:50" ht="21">
      <c r="A4" s="98" t="s">
        <v>2</v>
      </c>
      <c r="B4" s="98"/>
      <c r="C4" s="98"/>
      <c r="D4" s="98"/>
      <c r="E4" s="98"/>
      <c r="F4" s="98"/>
      <c r="G4" s="98"/>
      <c r="H4" s="98"/>
      <c r="L4" s="46">
        <v>27</v>
      </c>
      <c r="M4" s="46">
        <v>27</v>
      </c>
      <c r="N4" s="46">
        <v>27</v>
      </c>
      <c r="O4" s="46">
        <v>27</v>
      </c>
      <c r="P4" s="46">
        <v>12</v>
      </c>
      <c r="Q4" s="46"/>
      <c r="R4" s="46"/>
      <c r="S4" s="46"/>
      <c r="T4" s="46"/>
      <c r="U4" s="46"/>
      <c r="V4" s="46"/>
      <c r="W4" s="46">
        <v>12</v>
      </c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99" t="str">
        <f>A4</f>
        <v>Výsledková listina / Result list</v>
      </c>
      <c r="AR4" s="99"/>
      <c r="AS4" s="99"/>
      <c r="AT4" s="99"/>
      <c r="AU4" s="99"/>
      <c r="AV4" s="99"/>
      <c r="AW4" s="99"/>
      <c r="AX4" s="99"/>
    </row>
    <row r="5" spans="1:50" ht="22.5" customHeight="1">
      <c r="C5" s="1"/>
      <c r="L5" s="46">
        <v>4</v>
      </c>
      <c r="M5" s="46">
        <v>8</v>
      </c>
      <c r="N5" s="46">
        <v>8</v>
      </c>
      <c r="O5" s="46">
        <v>12</v>
      </c>
      <c r="P5" s="46">
        <v>26</v>
      </c>
      <c r="Q5" s="46"/>
      <c r="R5" s="46"/>
      <c r="S5" s="46"/>
      <c r="T5" s="46"/>
      <c r="U5" s="46"/>
      <c r="V5" s="46"/>
      <c r="W5" s="46">
        <v>26</v>
      </c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S5" s="100" t="s">
        <v>379</v>
      </c>
      <c r="AT5" s="100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101" t="s">
        <v>12</v>
      </c>
      <c r="H6" s="101"/>
      <c r="I6" s="102" t="s">
        <v>13</v>
      </c>
      <c r="J6" s="103"/>
      <c r="K6" s="34" t="e">
        <f>#REF!</f>
        <v>#REF!</v>
      </c>
      <c r="L6" s="94" t="s">
        <v>14</v>
      </c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34" t="s">
        <v>15</v>
      </c>
      <c r="Y6" s="102" t="s">
        <v>16</v>
      </c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3"/>
      <c r="AP6" s="53"/>
      <c r="AQ6" s="5" t="s">
        <v>3</v>
      </c>
      <c r="AR6" s="5" t="s">
        <v>4</v>
      </c>
      <c r="AS6" s="5" t="s">
        <v>381</v>
      </c>
      <c r="AT6" s="5" t="s">
        <v>7</v>
      </c>
      <c r="AU6" s="5" t="s">
        <v>5</v>
      </c>
      <c r="AV6" s="94" t="s">
        <v>10</v>
      </c>
      <c r="AW6" s="94"/>
      <c r="AX6" s="5" t="s">
        <v>26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382</v>
      </c>
      <c r="AT7" s="6" t="s">
        <v>22</v>
      </c>
      <c r="AU7" s="6" t="s">
        <v>5</v>
      </c>
      <c r="AV7" s="34" t="s">
        <v>25</v>
      </c>
      <c r="AW7" s="34" t="s">
        <v>9</v>
      </c>
      <c r="AX7" s="6" t="s">
        <v>337</v>
      </c>
    </row>
    <row r="8" spans="1:50" ht="11.25" customHeight="1">
      <c r="C8" s="1"/>
    </row>
    <row r="9" spans="1:50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 t="s">
        <v>334</v>
      </c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>
      <c r="A12" s="14">
        <f>RANK(Tabulka13[[#This Row],[Body_bod]],Tabulka13[Body_bod],0)</f>
        <v>1</v>
      </c>
      <c r="B12" s="44">
        <v>4</v>
      </c>
      <c r="C12" s="15">
        <v>10095668959</v>
      </c>
      <c r="D12" s="16" t="s">
        <v>346</v>
      </c>
      <c r="E12" s="17" t="s">
        <v>341</v>
      </c>
      <c r="F12" s="18" t="s">
        <v>345</v>
      </c>
      <c r="G12" s="49">
        <f>IFERROR(VLOOKUP(Tabulka13[[#This Row],[Race no.]],Vylučovačka!D:E,2,FALSE),"x")</f>
        <v>1</v>
      </c>
      <c r="H12" s="20">
        <f>IFERROR(VLOOKUP(G12,List1!B:C,2,FALSE),0)</f>
        <v>40</v>
      </c>
      <c r="I12" s="116">
        <f>SUM(L12:X12)</f>
        <v>24</v>
      </c>
      <c r="J12" s="50">
        <f>IFERROR(VLOOKUP(Tabulka13[[#This Row],[Race no.]],Bodovacka!D:E,2,FALSE),"x")</f>
        <v>1</v>
      </c>
      <c r="K12" s="22">
        <f>SUM(Y12:AO12)</f>
        <v>11</v>
      </c>
      <c r="L12" s="23">
        <f>IFERROR(VLOOKUP($B12,$L$2:$X$5,13,FALSE),"")</f>
        <v>1</v>
      </c>
      <c r="M12" s="23">
        <f>IFERROR(VLOOKUP($B12,$M$2:$X$5,12,FALSE),"")</f>
        <v>5</v>
      </c>
      <c r="N12" s="23" t="str">
        <f>IFERROR(VLOOKUP($B12,$N$2:$X$5,11,FALSE),"")</f>
        <v/>
      </c>
      <c r="O12" s="23">
        <f>IFERROR(VLOOKUP($B12,$O$2:$X$5,10,FALSE),"")</f>
        <v>3</v>
      </c>
      <c r="P12" s="23">
        <f>IFERROR(VLOOKUP($B12,$P$2:$X$5,9,FALSE),"")</f>
        <v>5</v>
      </c>
      <c r="Q12" s="23" t="str">
        <f>IFERROR(VLOOKUP($B12,$Q$2:$X$5,8,FALSE),"")</f>
        <v/>
      </c>
      <c r="R12" s="23" t="str">
        <f>IFERROR(VLOOKUP($B12,$R$2:$X$5,7,FALSE),"")</f>
        <v/>
      </c>
      <c r="S12" s="23" t="str">
        <f>IFERROR(VLOOKUP($B12,$S$2:$X$5,7,FALSE),"")</f>
        <v/>
      </c>
      <c r="T12" s="23" t="str">
        <f>IFERROR(VLOOKUP($B12,$R$2:$X$5,7,FALSE),"")</f>
        <v/>
      </c>
      <c r="U12" s="23" t="str">
        <f>IFERROR(VLOOKUP($B12,$R$2:$X$5,7,FALSE),"")</f>
        <v/>
      </c>
      <c r="V12" s="23" t="str">
        <f>IFERROR(VLOOKUP($B12,$R$2:$X$5,7,FALSE),"")</f>
        <v/>
      </c>
      <c r="W12" s="23">
        <f>IFERROR(VLOOKUP($B12,$W$2:$X$5,2,FALSE)*2,"")</f>
        <v>10</v>
      </c>
      <c r="X12" s="23"/>
      <c r="Y12" s="56">
        <v>11</v>
      </c>
      <c r="Z12" s="57" t="str">
        <f>IFERROR(VLOOKUP($B12,$Z$4:$AP$5,17,FALSE),"")</f>
        <v/>
      </c>
      <c r="AA12" s="57" t="str">
        <f>IFERROR(VLOOKUP($B12,$AA$4:$AP$5,16,FALSE),"")</f>
        <v/>
      </c>
      <c r="AB12" s="57" t="str">
        <f>IFERROR(VLOOKUP($B12,$AB$4:$AP$5,15,FALSE),"")</f>
        <v/>
      </c>
      <c r="AC12" s="56" t="str">
        <f>IFERROR(VLOOKUP($B12,$AC$4:$AP$5,14,FALSE),"")</f>
        <v/>
      </c>
      <c r="AD12" s="56" t="str">
        <f>IFERROR(VLOOKUP($B12,$AD$4:$AP$5,13,FALSE),"")</f>
        <v/>
      </c>
      <c r="AE12" s="56" t="str">
        <f>IFERROR(VLOOKUP($B12,$AE$4:$AP$5,12,FALSE),"")</f>
        <v/>
      </c>
      <c r="AF12" s="56" t="str">
        <f>IFERROR(VLOOKUP($B12,$AF$4:$AP$5,11,FALSE),"")</f>
        <v/>
      </c>
      <c r="AG12" s="56" t="str">
        <f>IFERROR(VLOOKUP($B12,$AG$4:$AP$5,10,FALSE),"")</f>
        <v/>
      </c>
      <c r="AH12" s="56" t="str">
        <f>IFERROR(VLOOKUP($B12,$AH$4:$AP$5,9,FALSE),"")</f>
        <v/>
      </c>
      <c r="AI12" s="56" t="str">
        <f>IFERROR(VLOOKUP($B12,$AI$4:$AP$5,8,FALSE),"")</f>
        <v/>
      </c>
      <c r="AJ12" s="56" t="str">
        <f>IFERROR(VLOOKUP($B12,$AJ$4:$AP$5,7,FALSE),"")</f>
        <v/>
      </c>
      <c r="AK12" s="56" t="str">
        <f>IFERROR(VLOOKUP($B12,$AK$4:$AP$5,6,FALSE),"")</f>
        <v/>
      </c>
      <c r="AL12" s="56" t="str">
        <f>IFERROR(VLOOKUP($B12,$AL$4:$AP$5,5,FALSE),"")</f>
        <v/>
      </c>
      <c r="AM12" s="56" t="str">
        <f>IFERROR(VLOOKUP($B12,$AM$4:$AP$5,4,FALSE),"")</f>
        <v/>
      </c>
      <c r="AN12" s="56" t="str">
        <f>IFERROR(VLOOKUP($B12,$AN$4:$AP$5,3,FALSE),"")</f>
        <v/>
      </c>
      <c r="AO12" s="56" t="str">
        <f>IFERROR(VLOOKUP($B12,$AN$4:$AP$5,3,FALSE),"")</f>
        <v/>
      </c>
      <c r="AQ12" s="41">
        <v>1</v>
      </c>
      <c r="AR12" s="118">
        <f>Tabulka13[[#This Row],[Race no.]]</f>
        <v>4</v>
      </c>
      <c r="AS12" s="42" t="str">
        <f>Tabulka13[[#This Row],[Surname and name]]</f>
        <v>Alexandr KANIŠČEV</v>
      </c>
      <c r="AT12" s="40" t="str">
        <f>Tabulka13[[#This Row],[Team]]</f>
        <v>TUFO PARDUS Prostějov z.s.</v>
      </c>
      <c r="AU12" s="40">
        <f>Tabulka13[[#This Row],[UCI ID]]</f>
        <v>10095668959</v>
      </c>
      <c r="AV12" s="36" t="e">
        <f>#REF!</f>
        <v>#REF!</v>
      </c>
      <c r="AW12" s="36" t="e">
        <f>#REF!</f>
        <v>#REF!</v>
      </c>
      <c r="AX12">
        <f>Tabulka13[[#This Row],[Body_bod]]</f>
        <v>24</v>
      </c>
    </row>
    <row r="13" spans="1:50" ht="15" customHeight="1">
      <c r="A13" s="14">
        <f>RANK(Tabulka13[[#This Row],[Body_bod]],Tabulka13[Body_bod],0)</f>
        <v>2</v>
      </c>
      <c r="B13" s="44">
        <v>27</v>
      </c>
      <c r="C13" s="15">
        <v>10110735584</v>
      </c>
      <c r="D13" s="16" t="s">
        <v>373</v>
      </c>
      <c r="E13" s="17" t="s">
        <v>374</v>
      </c>
      <c r="F13" s="18" t="s">
        <v>345</v>
      </c>
      <c r="G13" s="49">
        <f>IFERROR(VLOOKUP(Tabulka13[[#This Row],[Race no.]],Vylučovačka!D:E,2,FALSE),"x")</f>
        <v>5</v>
      </c>
      <c r="H13" s="20">
        <f>IFERROR(VLOOKUP(G13,List1!B:C,2,FALSE),0)</f>
        <v>32</v>
      </c>
      <c r="I13" s="116">
        <f>SUM(L13:X13)</f>
        <v>17</v>
      </c>
      <c r="J13" s="50">
        <f>IFERROR(VLOOKUP(Tabulka13[[#This Row],[Race no.]],Bodovacka!D:E,2,FALSE),"x")</f>
        <v>2</v>
      </c>
      <c r="K13" s="22">
        <f>SUM(Y13:AO13)</f>
        <v>1</v>
      </c>
      <c r="L13" s="23">
        <f>IFERROR(VLOOKUP($B13,$L$2:$X$5,13,FALSE),"")</f>
        <v>2</v>
      </c>
      <c r="M13" s="23">
        <f>IFERROR(VLOOKUP($B13,$M$2:$X$5,12,FALSE),"")</f>
        <v>2</v>
      </c>
      <c r="N13" s="23">
        <f>IFERROR(VLOOKUP($B13,$N$2:$X$5,11,FALSE),"")</f>
        <v>2</v>
      </c>
      <c r="O13" s="23">
        <f>IFERROR(VLOOKUP($B13,$O$2:$X$5,10,FALSE),"")</f>
        <v>2</v>
      </c>
      <c r="P13" s="23">
        <f>IFERROR(VLOOKUP($B13,$P$2:$X$5,9,FALSE),"")</f>
        <v>3</v>
      </c>
      <c r="Q13" s="23" t="str">
        <f>IFERROR(VLOOKUP($B13,$Q$2:$X$5,8,FALSE),"")</f>
        <v/>
      </c>
      <c r="R13" s="23" t="str">
        <f>IFERROR(VLOOKUP($B13,$R$2:$X$5,7,FALSE),"")</f>
        <v/>
      </c>
      <c r="S13" s="23" t="str">
        <f>IFERROR(VLOOKUP($B13,$S$2:$X$5,7,FALSE),"")</f>
        <v/>
      </c>
      <c r="T13" s="23" t="str">
        <f>IFERROR(VLOOKUP($B13,$R$2:$X$5,7,FALSE),"")</f>
        <v/>
      </c>
      <c r="U13" s="23" t="str">
        <f>IFERROR(VLOOKUP($B13,$R$2:$X$5,7,FALSE),"")</f>
        <v/>
      </c>
      <c r="V13" s="23" t="str">
        <f>IFERROR(VLOOKUP($B13,$R$2:$X$5,7,FALSE),"")</f>
        <v/>
      </c>
      <c r="W13" s="23">
        <f>IFERROR(VLOOKUP($B13,$W$2:$X$5,2,FALSE)*2,"")</f>
        <v>6</v>
      </c>
      <c r="X13" s="23"/>
      <c r="Y13">
        <v>1</v>
      </c>
      <c r="Z13" t="str">
        <f>IFERROR(VLOOKUP($B13,$Z$4:$AP$5,17,FALSE),"")</f>
        <v/>
      </c>
      <c r="AA13" t="str">
        <f>IFERROR(VLOOKUP($B13,$AA$4:$AP$5,16,FALSE),"")</f>
        <v/>
      </c>
      <c r="AB13" t="str">
        <f>IFERROR(VLOOKUP($B13,$AB$4:$AP$5,15,FALSE),"")</f>
        <v/>
      </c>
      <c r="AC13" t="str">
        <f>IFERROR(VLOOKUP($B13,$AC$4:$AP$5,14,FALSE),"")</f>
        <v/>
      </c>
      <c r="AD13" t="str">
        <f>IFERROR(VLOOKUP($B13,$AD$4:$AP$5,13,FALSE),"")</f>
        <v/>
      </c>
      <c r="AE13" t="str">
        <f>IFERROR(VLOOKUP($B13,$AE$4:$AP$5,12,FALSE),"")</f>
        <v/>
      </c>
      <c r="AF13" t="str">
        <f>IFERROR(VLOOKUP($B13,$AF$4:$AP$5,11,FALSE),"")</f>
        <v/>
      </c>
      <c r="AG13" t="str">
        <f>IFERROR(VLOOKUP($B13,$AG$4:$AP$5,10,FALSE),"")</f>
        <v/>
      </c>
      <c r="AH13" t="str">
        <f>IFERROR(VLOOKUP($B13,$AH$4:$AP$5,9,FALSE),"")</f>
        <v/>
      </c>
      <c r="AI13" t="str">
        <f>IFERROR(VLOOKUP($B13,$AI$4:$AP$5,8,FALSE),"")</f>
        <v/>
      </c>
      <c r="AJ13" t="str">
        <f>IFERROR(VLOOKUP($B13,$AJ$4:$AP$5,7,FALSE),"")</f>
        <v/>
      </c>
      <c r="AK13" t="str">
        <f>IFERROR(VLOOKUP($B13,$AK$4:$AP$5,6,FALSE),"")</f>
        <v/>
      </c>
      <c r="AL13" t="str">
        <f>IFERROR(VLOOKUP($B13,$AL$4:$AP$5,5,FALSE),"")</f>
        <v/>
      </c>
      <c r="AM13" t="str">
        <f>IFERROR(VLOOKUP($B13,$AM$4:$AP$5,4,FALSE),"")</f>
        <v/>
      </c>
      <c r="AN13" t="str">
        <f>IFERROR(VLOOKUP($B13,$AN$4:$AP$5,3,FALSE),"")</f>
        <v/>
      </c>
      <c r="AO13" t="str">
        <f>IFERROR(VLOOKUP($B13,$AN$4:$AP$5,3,FALSE),"")</f>
        <v/>
      </c>
      <c r="AQ13" s="41">
        <v>2</v>
      </c>
      <c r="AR13" s="118">
        <f>Tabulka13[[#This Row],[Race no.]]</f>
        <v>27</v>
      </c>
      <c r="AS13" s="42" t="str">
        <f>Tabulka13[[#This Row],[Surname and name]]</f>
        <v>Marc HIERSCHLAGER</v>
      </c>
      <c r="AT13" s="40" t="str">
        <f>Tabulka13[[#This Row],[Team]]</f>
        <v>RC Arbo Auto Eder Walding</v>
      </c>
      <c r="AU13" s="40">
        <f>Tabulka13[[#This Row],[UCI ID]]</f>
        <v>10110735584</v>
      </c>
      <c r="AV13" s="36" t="e">
        <f>#REF!</f>
        <v>#REF!</v>
      </c>
      <c r="AW13" s="36" t="e">
        <f>#REF!</f>
        <v>#REF!</v>
      </c>
      <c r="AX13">
        <f>Tabulka13[[#This Row],[Body_bod]]</f>
        <v>17</v>
      </c>
    </row>
    <row r="14" spans="1:50" ht="15" customHeight="1">
      <c r="A14" s="14">
        <f>RANK(Tabulka13[[#This Row],[Body_bod]],Tabulka13[Body_bod],0)</f>
        <v>3</v>
      </c>
      <c r="B14" s="44">
        <v>14</v>
      </c>
      <c r="C14" s="15">
        <v>10076591786</v>
      </c>
      <c r="D14" s="16" t="s">
        <v>358</v>
      </c>
      <c r="E14" s="17" t="s">
        <v>359</v>
      </c>
      <c r="F14" s="18" t="s">
        <v>345</v>
      </c>
      <c r="G14" s="49">
        <f>IFERROR(VLOOKUP(Tabulka13[[#This Row],[Race no.]],Vylučovačka!D:E,2,FALSE),"x")</f>
        <v>15</v>
      </c>
      <c r="H14" s="20">
        <f>IFERROR(VLOOKUP(G14,List1!B:C,2,FALSE),0)</f>
        <v>12</v>
      </c>
      <c r="I14" s="116">
        <f>SUM(L14:X14)</f>
        <v>13</v>
      </c>
      <c r="J14" s="50">
        <f>IFERROR(VLOOKUP(Tabulka13[[#This Row],[Race no.]],Bodovacka!D:E,2,FALSE),"x")</f>
        <v>6</v>
      </c>
      <c r="K14" s="22">
        <f>SUM(Y14:AO14)</f>
        <v>0</v>
      </c>
      <c r="L14" s="23">
        <f>IFERROR(VLOOKUP($B14,$L$2:$X$5,13,FALSE),"")</f>
        <v>5</v>
      </c>
      <c r="M14" s="23" t="str">
        <f>IFERROR(VLOOKUP($B14,$M$2:$X$5,12,FALSE),"")</f>
        <v/>
      </c>
      <c r="N14" s="23">
        <f>IFERROR(VLOOKUP($B14,$N$2:$X$5,11,FALSE),"")</f>
        <v>3</v>
      </c>
      <c r="O14" s="23">
        <f>IFERROR(VLOOKUP($B14,$O$2:$X$5,10,FALSE),"")</f>
        <v>5</v>
      </c>
      <c r="P14" s="23" t="str">
        <f>IFERROR(VLOOKUP($B14,$P$2:$X$5,9,FALSE),"")</f>
        <v/>
      </c>
      <c r="Q14" s="23" t="str">
        <f>IFERROR(VLOOKUP($B14,$Q$2:$X$5,8,FALSE),"")</f>
        <v/>
      </c>
      <c r="R14" s="23" t="str">
        <f>IFERROR(VLOOKUP($B14,$R$2:$X$5,7,FALSE),"")</f>
        <v/>
      </c>
      <c r="S14" s="23" t="str">
        <f>IFERROR(VLOOKUP($B14,$S$2:$X$5,7,FALSE),"")</f>
        <v/>
      </c>
      <c r="T14" s="23" t="str">
        <f>IFERROR(VLOOKUP($B14,$R$2:$X$5,7,FALSE),"")</f>
        <v/>
      </c>
      <c r="U14" s="23" t="str">
        <f>IFERROR(VLOOKUP($B14,$R$2:$X$5,7,FALSE),"")</f>
        <v/>
      </c>
      <c r="V14" s="23" t="str">
        <f>IFERROR(VLOOKUP($B14,$R$2:$X$5,7,FALSE),"")</f>
        <v/>
      </c>
      <c r="W14" s="23" t="str">
        <f>IFERROR(VLOOKUP($B14,$W$2:$X$5,2,FALSE)*2,"")</f>
        <v/>
      </c>
      <c r="X14" s="23"/>
      <c r="Y14" s="113" t="str">
        <f>IFERROR(VLOOKUP($B14,$Y$4:$AP$5,18,FALSE),"")</f>
        <v/>
      </c>
      <c r="Z14" s="113" t="str">
        <f>IFERROR(VLOOKUP($B14,$Z$4:$AP$5,17,FALSE),"")</f>
        <v/>
      </c>
      <c r="AA14" s="113" t="str">
        <f>IFERROR(VLOOKUP($B14,$AA$4:$AP$5,16,FALSE),"")</f>
        <v/>
      </c>
      <c r="AB14" s="113" t="str">
        <f>IFERROR(VLOOKUP($B14,$AB$4:$AP$5,15,FALSE),"")</f>
        <v/>
      </c>
      <c r="AC14" s="113" t="str">
        <f>IFERROR(VLOOKUP($B14,$AC$4:$AP$5,14,FALSE),"")</f>
        <v/>
      </c>
      <c r="AD14" s="113" t="str">
        <f>IFERROR(VLOOKUP($B14,$AD$4:$AP$5,13,FALSE),"")</f>
        <v/>
      </c>
      <c r="AE14" s="113" t="str">
        <f>IFERROR(VLOOKUP($B14,$AE$4:$AP$5,12,FALSE),"")</f>
        <v/>
      </c>
      <c r="AF14" s="113" t="str">
        <f>IFERROR(VLOOKUP($B14,$AF$4:$AP$5,11,FALSE),"")</f>
        <v/>
      </c>
      <c r="AG14" s="113" t="str">
        <f>IFERROR(VLOOKUP($B14,$AG$4:$AP$5,10,FALSE),"")</f>
        <v/>
      </c>
      <c r="AH14" s="113" t="str">
        <f>IFERROR(VLOOKUP($B14,$AH$4:$AP$5,9,FALSE),"")</f>
        <v/>
      </c>
      <c r="AI14" s="113" t="str">
        <f>IFERROR(VLOOKUP($B14,$AI$4:$AP$5,8,FALSE),"")</f>
        <v/>
      </c>
      <c r="AJ14" s="113" t="str">
        <f>IFERROR(VLOOKUP($B14,$AJ$4:$AP$5,7,FALSE),"")</f>
        <v/>
      </c>
      <c r="AK14" s="113" t="str">
        <f>IFERROR(VLOOKUP($B14,$AK$4:$AP$5,6,FALSE),"")</f>
        <v/>
      </c>
      <c r="AL14" s="113" t="str">
        <f>IFERROR(VLOOKUP($B14,$AL$4:$AP$5,5,FALSE),"")</f>
        <v/>
      </c>
      <c r="AM14" s="113" t="str">
        <f>IFERROR(VLOOKUP($B14,$AM$4:$AP$5,4,FALSE),"")</f>
        <v/>
      </c>
      <c r="AN14" s="113" t="str">
        <f>IFERROR(VLOOKUP($B14,$AN$4:$AP$5,3,FALSE),"")</f>
        <v/>
      </c>
      <c r="AO14" s="113" t="str">
        <f>IFERROR(VLOOKUP($B14,$AN$4:$AP$5,3,FALSE),"")</f>
        <v/>
      </c>
      <c r="AQ14" s="41">
        <v>3</v>
      </c>
      <c r="AR14" s="118">
        <f>Tabulka13[[#This Row],[Race no.]]</f>
        <v>14</v>
      </c>
      <c r="AS14" s="42" t="str">
        <f>Tabulka13[[#This Row],[Surname and name]]</f>
        <v>Miroslav DRUŽKOVSKÝ</v>
      </c>
      <c r="AT14" s="40" t="str">
        <f>Tabulka13[[#This Row],[Team]]</f>
        <v>CyS Akadémia Petera Sagana</v>
      </c>
      <c r="AU14" s="40">
        <f>Tabulka13[[#This Row],[UCI ID]]</f>
        <v>10076591786</v>
      </c>
      <c r="AV14" s="36" t="e">
        <f>#REF!</f>
        <v>#REF!</v>
      </c>
      <c r="AW14" s="36" t="e">
        <f>#REF!</f>
        <v>#REF!</v>
      </c>
      <c r="AX14">
        <f>Tabulka13[[#This Row],[Body_bod]]</f>
        <v>13</v>
      </c>
    </row>
    <row r="15" spans="1:50" ht="15" customHeight="1">
      <c r="A15" s="14">
        <f>RANK(Tabulka13[[#This Row],[Body_bod]],Tabulka13[Body_bod],0)</f>
        <v>4</v>
      </c>
      <c r="B15" s="44">
        <v>12</v>
      </c>
      <c r="C15" s="15">
        <v>10106248831</v>
      </c>
      <c r="D15" s="16" t="s">
        <v>356</v>
      </c>
      <c r="E15" s="17" t="s">
        <v>355</v>
      </c>
      <c r="F15" s="18" t="s">
        <v>345</v>
      </c>
      <c r="G15" s="49">
        <f>IFERROR(VLOOKUP(Tabulka13[[#This Row],[Race no.]],Vylučovačka!D:E,2,FALSE),"x")</f>
        <v>6</v>
      </c>
      <c r="H15" s="20">
        <f>IFERROR(VLOOKUP(G15,List1!B:C,2,FALSE),0)</f>
        <v>30</v>
      </c>
      <c r="I15" s="116">
        <f>SUM(L15:X15)</f>
        <v>7</v>
      </c>
      <c r="J15" s="50">
        <f>IFERROR(VLOOKUP(Tabulka13[[#This Row],[Race no.]],Bodovacka!D:E,2,FALSE),"x")</f>
        <v>3</v>
      </c>
      <c r="K15" s="22">
        <f>SUM(Y15:AO15)</f>
        <v>2</v>
      </c>
      <c r="L15" s="23" t="str">
        <f>IFERROR(VLOOKUP($B15,$L$2:$X$5,13,FALSE),"")</f>
        <v/>
      </c>
      <c r="M15" s="23" t="str">
        <f>IFERROR(VLOOKUP($B15,$M$2:$X$5,12,FALSE),"")</f>
        <v/>
      </c>
      <c r="N15" s="23" t="str">
        <f>IFERROR(VLOOKUP($B15,$N$2:$X$5,11,FALSE),"")</f>
        <v/>
      </c>
      <c r="O15" s="23">
        <f>IFERROR(VLOOKUP($B15,$O$2:$X$5,10,FALSE),"")</f>
        <v>1</v>
      </c>
      <c r="P15" s="23">
        <f>IFERROR(VLOOKUP($B15,$P$2:$X$5,9,FALSE),"")</f>
        <v>2</v>
      </c>
      <c r="Q15" s="23" t="str">
        <f>IFERROR(VLOOKUP($B15,$Q$2:$X$5,8,FALSE),"")</f>
        <v/>
      </c>
      <c r="R15" s="23" t="str">
        <f>IFERROR(VLOOKUP($B15,$R$2:$X$5,7,FALSE),"")</f>
        <v/>
      </c>
      <c r="S15" s="23" t="str">
        <f>IFERROR(VLOOKUP($B15,$S$2:$X$5,7,FALSE),"")</f>
        <v/>
      </c>
      <c r="T15" s="23" t="str">
        <f>IFERROR(VLOOKUP($B15,$R$2:$X$5,7,FALSE),"")</f>
        <v/>
      </c>
      <c r="U15" s="23" t="str">
        <f>IFERROR(VLOOKUP($B15,$R$2:$X$5,7,FALSE),"")</f>
        <v/>
      </c>
      <c r="V15" s="23" t="str">
        <f>IFERROR(VLOOKUP($B15,$R$2:$X$5,7,FALSE),"")</f>
        <v/>
      </c>
      <c r="W15" s="23">
        <f>IFERROR(VLOOKUP($B15,$W$2:$X$5,2,FALSE)*2,"")</f>
        <v>4</v>
      </c>
      <c r="X15" s="23"/>
      <c r="Y15">
        <v>2</v>
      </c>
      <c r="Z15" t="str">
        <f>IFERROR(VLOOKUP($B15,$Z$4:$AP$5,17,FALSE),"")</f>
        <v/>
      </c>
      <c r="AA15" t="str">
        <f>IFERROR(VLOOKUP($B15,$AA$4:$AP$5,16,FALSE),"")</f>
        <v/>
      </c>
      <c r="AB15" t="str">
        <f>IFERROR(VLOOKUP($B15,$AB$4:$AP$5,15,FALSE),"")</f>
        <v/>
      </c>
      <c r="AC15" t="str">
        <f>IFERROR(VLOOKUP($B15,$AC$4:$AP$5,14,FALSE),"")</f>
        <v/>
      </c>
      <c r="AD15" t="str">
        <f>IFERROR(VLOOKUP($B15,$AD$4:$AP$5,13,FALSE),"")</f>
        <v/>
      </c>
      <c r="AE15" t="str">
        <f>IFERROR(VLOOKUP($B15,$AE$4:$AP$5,12,FALSE),"")</f>
        <v/>
      </c>
      <c r="AF15" t="str">
        <f>IFERROR(VLOOKUP($B15,$AF$4:$AP$5,11,FALSE),"")</f>
        <v/>
      </c>
      <c r="AG15" t="str">
        <f>IFERROR(VLOOKUP($B15,$AG$4:$AP$5,10,FALSE),"")</f>
        <v/>
      </c>
      <c r="AH15" t="str">
        <f>IFERROR(VLOOKUP($B15,$AH$4:$AP$5,9,FALSE),"")</f>
        <v/>
      </c>
      <c r="AI15" t="str">
        <f>IFERROR(VLOOKUP($B15,$AI$4:$AP$5,8,FALSE),"")</f>
        <v/>
      </c>
      <c r="AJ15" t="str">
        <f>IFERROR(VLOOKUP($B15,$AJ$4:$AP$5,7,FALSE),"")</f>
        <v/>
      </c>
      <c r="AK15" t="str">
        <f>IFERROR(VLOOKUP($B15,$AK$4:$AP$5,6,FALSE),"")</f>
        <v/>
      </c>
      <c r="AL15" s="56" t="str">
        <f>IFERROR(VLOOKUP($B15,$AL$4:$AP$5,5,FALSE),"")</f>
        <v/>
      </c>
      <c r="AM15" t="str">
        <f>IFERROR(VLOOKUP($B15,$AM$4:$AP$5,4,FALSE),"")</f>
        <v/>
      </c>
      <c r="AN15" t="str">
        <f>IFERROR(VLOOKUP($B15,$AN$4:$AP$5,3,FALSE),"")</f>
        <v/>
      </c>
      <c r="AO15" t="str">
        <f>IFERROR(VLOOKUP($B15,$AN$4:$AP$5,3,FALSE),"")</f>
        <v/>
      </c>
      <c r="AQ15" s="41">
        <v>4</v>
      </c>
      <c r="AR15" s="118">
        <f>Tabulka13[[#This Row],[Race no.]]</f>
        <v>12</v>
      </c>
      <c r="AS15" s="42" t="str">
        <f>Tabulka13[[#This Row],[Surname and name]]</f>
        <v>Marek PŠENKA</v>
      </c>
      <c r="AT15" s="40" t="str">
        <f>Tabulka13[[#This Row],[Team]]</f>
        <v>CK Epic Dohňany</v>
      </c>
      <c r="AU15" s="40">
        <f>Tabulka13[[#This Row],[UCI ID]]</f>
        <v>10106248831</v>
      </c>
      <c r="AV15" s="36" t="e">
        <f>#REF!</f>
        <v>#REF!</v>
      </c>
      <c r="AW15" s="36" t="e">
        <f>#REF!</f>
        <v>#REF!</v>
      </c>
      <c r="AX15">
        <f>Tabulka13[[#This Row],[Body_bod]]</f>
        <v>7</v>
      </c>
    </row>
    <row r="16" spans="1:50" ht="15" customHeight="1">
      <c r="A16" s="14">
        <f>RANK(Tabulka13[[#This Row],[Body_bod]],Tabulka13[Body_bod],0)</f>
        <v>5</v>
      </c>
      <c r="B16" s="44">
        <v>18</v>
      </c>
      <c r="C16" s="15">
        <v>10046082155</v>
      </c>
      <c r="D16" s="16" t="s">
        <v>363</v>
      </c>
      <c r="E16" s="17" t="s">
        <v>247</v>
      </c>
      <c r="F16" s="18" t="s">
        <v>345</v>
      </c>
      <c r="G16" s="49">
        <f>IFERROR(VLOOKUP(Tabulka13[[#This Row],[Race no.]],Vylučovačka!D:E,2,FALSE),"x")</f>
        <v>3</v>
      </c>
      <c r="H16" s="20">
        <f>IFERROR(VLOOKUP(G16,List1!B:C,2,FALSE),0)</f>
        <v>36</v>
      </c>
      <c r="I16" s="116">
        <f>SUM(L16:X16)</f>
        <v>5</v>
      </c>
      <c r="J16" s="50">
        <f>IFERROR(VLOOKUP(Tabulka13[[#This Row],[Race no.]],Bodovacka!D:E,2,FALSE),"x")</f>
        <v>21</v>
      </c>
      <c r="K16" s="22">
        <f>SUM(Y16:AO16)</f>
        <v>5</v>
      </c>
      <c r="L16" s="23" t="str">
        <f>IFERROR(VLOOKUP($B16,$L$2:$X$5,13,FALSE),"")</f>
        <v/>
      </c>
      <c r="M16" s="23" t="str">
        <f>IFERROR(VLOOKUP($B16,$M$2:$X$5,12,FALSE),"")</f>
        <v/>
      </c>
      <c r="N16" s="23">
        <f>IFERROR(VLOOKUP($B16,$N$2:$X$5,11,FALSE),"")</f>
        <v>5</v>
      </c>
      <c r="O16" s="23" t="str">
        <f>IFERROR(VLOOKUP($B16,$O$2:$X$5,10,FALSE),"")</f>
        <v/>
      </c>
      <c r="P16" s="23" t="str">
        <f>IFERROR(VLOOKUP($B16,$P$2:$X$5,9,FALSE),"")</f>
        <v/>
      </c>
      <c r="Q16" s="23" t="str">
        <f>IFERROR(VLOOKUP($B16,$Q$2:$X$5,8,FALSE),"")</f>
        <v/>
      </c>
      <c r="R16" s="23" t="str">
        <f>IFERROR(VLOOKUP($B16,$R$2:$X$5,7,FALSE),"")</f>
        <v/>
      </c>
      <c r="S16" s="23" t="str">
        <f>IFERROR(VLOOKUP($B16,$S$2:$X$5,7,FALSE),"")</f>
        <v/>
      </c>
      <c r="T16" s="23" t="str">
        <f>IFERROR(VLOOKUP($B16,$R$2:$X$5,7,FALSE),"")</f>
        <v/>
      </c>
      <c r="U16" s="23" t="str">
        <f>IFERROR(VLOOKUP($B16,$R$2:$X$5,7,FALSE),"")</f>
        <v/>
      </c>
      <c r="V16" s="23" t="str">
        <f>IFERROR(VLOOKUP($B16,$R$2:$X$5,7,FALSE),"")</f>
        <v/>
      </c>
      <c r="W16" s="23" t="str">
        <f>IFERROR(VLOOKUP($B16,$W$2:$X$5,2,FALSE)*2,"")</f>
        <v/>
      </c>
      <c r="X16" s="23"/>
      <c r="Y16">
        <v>5</v>
      </c>
      <c r="Z16" s="29" t="str">
        <f>IFERROR(VLOOKUP($B16,$Z$4:$AP$5,17,FALSE),"")</f>
        <v/>
      </c>
      <c r="AA16" s="29" t="str">
        <f>IFERROR(VLOOKUP($B16,$AA$4:$AP$5,16,FALSE),"")</f>
        <v/>
      </c>
      <c r="AB16" s="29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s="113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v>5</v>
      </c>
      <c r="AR16" s="118">
        <f>Tabulka13[[#This Row],[Race no.]]</f>
        <v>18</v>
      </c>
      <c r="AS16" s="42" t="str">
        <f>Tabulka13[[#This Row],[Surname and name]]</f>
        <v>Matúš NAGY</v>
      </c>
      <c r="AT16" s="40" t="str">
        <f>Tabulka13[[#This Row],[Team]]</f>
        <v>CK Olympik Trnava</v>
      </c>
      <c r="AU16" s="40">
        <f>Tabulka13[[#This Row],[UCI ID]]</f>
        <v>10046082155</v>
      </c>
      <c r="AV16" s="36" t="e">
        <f>#REF!</f>
        <v>#REF!</v>
      </c>
      <c r="AW16" s="36" t="e">
        <f>#REF!</f>
        <v>#REF!</v>
      </c>
      <c r="AX16">
        <f>Tabulka13[[#This Row],[Body_bod]]</f>
        <v>5</v>
      </c>
    </row>
    <row r="17" spans="1:50" ht="15.75">
      <c r="A17" s="14">
        <f>RANK(Tabulka13[[#This Row],[Body_bod]],Tabulka13[Body_bod],0)</f>
        <v>6</v>
      </c>
      <c r="B17" s="44">
        <v>26</v>
      </c>
      <c r="C17" s="15">
        <v>10105673194</v>
      </c>
      <c r="D17" s="16" t="s">
        <v>372</v>
      </c>
      <c r="E17" s="17" t="s">
        <v>366</v>
      </c>
      <c r="F17" s="18" t="s">
        <v>345</v>
      </c>
      <c r="G17" s="49">
        <f>IFERROR(VLOOKUP(Tabulka13[[#This Row],[Race no.]],Vylučovačka!D:E,2,FALSE),"x")</f>
        <v>12</v>
      </c>
      <c r="H17" s="20">
        <f>IFERROR(VLOOKUP(G17,List1!B:C,2,FALSE),0)</f>
        <v>18</v>
      </c>
      <c r="I17" s="116">
        <f>SUM(L17:X17)</f>
        <v>3</v>
      </c>
      <c r="J17" s="50">
        <f>IFERROR(VLOOKUP(Tabulka13[[#This Row],[Race no.]],Bodovacka!D:E,2,FALSE),"x")</f>
        <v>4</v>
      </c>
      <c r="K17" s="22">
        <f>SUM(Y17:AO17)</f>
        <v>0</v>
      </c>
      <c r="L17" s="23" t="str">
        <f>IFERROR(VLOOKUP($B17,$L$2:$X$5,13,FALSE),"")</f>
        <v/>
      </c>
      <c r="M17" s="23" t="str">
        <f>IFERROR(VLOOKUP($B17,$M$2:$X$5,12,FALSE),"")</f>
        <v/>
      </c>
      <c r="N17" s="23" t="str">
        <f>IFERROR(VLOOKUP($B17,$N$2:$X$5,11,FALSE),"")</f>
        <v/>
      </c>
      <c r="O17" s="23" t="str">
        <f>IFERROR(VLOOKUP($B17,$O$2:$X$5,10,FALSE),"")</f>
        <v/>
      </c>
      <c r="P17" s="23">
        <f>IFERROR(VLOOKUP($B17,$P$2:$X$5,9,FALSE),"")</f>
        <v>1</v>
      </c>
      <c r="Q17" s="23" t="str">
        <f>IFERROR(VLOOKUP($B17,$Q$2:$X$5,8,FALSE),"")</f>
        <v/>
      </c>
      <c r="R17" s="23" t="str">
        <f>IFERROR(VLOOKUP($B17,$R$2:$X$5,7,FALSE),"")</f>
        <v/>
      </c>
      <c r="S17" s="23" t="str">
        <f>IFERROR(VLOOKUP($B17,$S$2:$X$5,7,FALSE),"")</f>
        <v/>
      </c>
      <c r="T17" s="23" t="str">
        <f>IFERROR(VLOOKUP($B17,$R$2:$X$5,7,FALSE),"")</f>
        <v/>
      </c>
      <c r="U17" s="23" t="str">
        <f>IFERROR(VLOOKUP($B17,$R$2:$X$5,7,FALSE),"")</f>
        <v/>
      </c>
      <c r="V17" s="23" t="str">
        <f>IFERROR(VLOOKUP($B17,$R$2:$X$5,7,FALSE),"")</f>
        <v/>
      </c>
      <c r="W17" s="23">
        <f>IFERROR(VLOOKUP($B17,$W$2:$X$5,2,FALSE)*2,"")</f>
        <v>2</v>
      </c>
      <c r="X17" s="23"/>
      <c r="Y17" t="str">
        <f>IFERROR(VLOOKUP($B17,$Y$4:$AP$5,18,FALSE),"")</f>
        <v/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v>6</v>
      </c>
      <c r="AR17" s="118">
        <f>Tabulka13[[#This Row],[Race no.]]</f>
        <v>26</v>
      </c>
      <c r="AS17" s="42" t="str">
        <f>Tabulka13[[#This Row],[Surname and name]]</f>
        <v>Romeo HASCHKA</v>
      </c>
      <c r="AT17" s="40" t="str">
        <f>Tabulka13[[#This Row],[Team]]</f>
        <v>RLM Wien</v>
      </c>
      <c r="AU17" s="40">
        <f>Tabulka13[[#This Row],[UCI ID]]</f>
        <v>10105673194</v>
      </c>
      <c r="AV17" s="36" t="e">
        <f>#REF!</f>
        <v>#REF!</v>
      </c>
      <c r="AW17" s="36" t="e">
        <f>#REF!</f>
        <v>#REF!</v>
      </c>
      <c r="AX17">
        <f>Tabulka13[[#This Row],[Body_bod]]</f>
        <v>3</v>
      </c>
    </row>
    <row r="18" spans="1:50" ht="15.75">
      <c r="A18" s="14">
        <f>RANK(Tabulka13[[#This Row],[Body_bod]],Tabulka13[Body_bod],0)</f>
        <v>6</v>
      </c>
      <c r="B18" s="44">
        <v>6</v>
      </c>
      <c r="C18" s="15">
        <v>10120198138</v>
      </c>
      <c r="D18" s="16" t="s">
        <v>348</v>
      </c>
      <c r="E18" s="17" t="s">
        <v>341</v>
      </c>
      <c r="F18" s="18" t="s">
        <v>345</v>
      </c>
      <c r="G18" s="49">
        <f>IFERROR(VLOOKUP(Tabulka13[[#This Row],[Race no.]],Vylučovačka!D:E,2,FALSE),"x")</f>
        <v>2</v>
      </c>
      <c r="H18" s="20">
        <f>IFERROR(VLOOKUP(G18,List1!B:C,2,FALSE),0)</f>
        <v>38</v>
      </c>
      <c r="I18" s="116">
        <f>SUM(L18:X18)</f>
        <v>3</v>
      </c>
      <c r="J18" s="50">
        <f>IFERROR(VLOOKUP(Tabulka13[[#This Row],[Race no.]],Bodovacka!D:E,2,FALSE),"x")</f>
        <v>11</v>
      </c>
      <c r="K18" s="22">
        <f>SUM(Y18:AO18)</f>
        <v>4</v>
      </c>
      <c r="L18" s="23">
        <f>IFERROR(VLOOKUP($B18,$L$2:$X$5,13,FALSE),"")</f>
        <v>3</v>
      </c>
      <c r="M18" s="23" t="str">
        <f>IFERROR(VLOOKUP($B18,$M$2:$X$5,12,FALSE),"")</f>
        <v/>
      </c>
      <c r="N18" s="23" t="str">
        <f>IFERROR(VLOOKUP($B18,$N$2:$X$5,11,FALSE),"")</f>
        <v/>
      </c>
      <c r="O18" s="23" t="str">
        <f>IFERROR(VLOOKUP($B18,$O$2:$X$5,10,FALSE),"")</f>
        <v/>
      </c>
      <c r="P18" s="23" t="str">
        <f>IFERROR(VLOOKUP($B18,$P$2:$X$5,9,FALSE),"")</f>
        <v/>
      </c>
      <c r="Q18" s="23" t="str">
        <f>IFERROR(VLOOKUP($B18,$Q$2:$X$5,8,FALSE),"")</f>
        <v/>
      </c>
      <c r="R18" s="23" t="str">
        <f>IFERROR(VLOOKUP($B18,$R$2:$X$5,7,FALSE),"")</f>
        <v/>
      </c>
      <c r="S18" s="23" t="str">
        <f>IFERROR(VLOOKUP($B18,$S$2:$X$5,7,FALSE),"")</f>
        <v/>
      </c>
      <c r="T18" s="23" t="str">
        <f>IFERROR(VLOOKUP($B18,$R$2:$X$5,7,FALSE),"")</f>
        <v/>
      </c>
      <c r="U18" s="23" t="str">
        <f>IFERROR(VLOOKUP($B18,$R$2:$X$5,7,FALSE),"")</f>
        <v/>
      </c>
      <c r="V18" s="23" t="str">
        <f>IFERROR(VLOOKUP($B18,$R$2:$X$5,7,FALSE),"")</f>
        <v/>
      </c>
      <c r="W18" s="23" t="str">
        <f>IFERROR(VLOOKUP($B18,$W$2:$X$5,2,FALSE)*2,"")</f>
        <v/>
      </c>
      <c r="X18" s="23"/>
      <c r="Y18">
        <v>4</v>
      </c>
      <c r="Z18" t="str">
        <f>IFERROR(VLOOKUP($B18,$Z$4:$AP$5,17,FALSE),"")</f>
        <v/>
      </c>
      <c r="AA18" t="str">
        <f>IFERROR(VLOOKUP($B18,$AA$4:$AP$5,16,FALSE),"")</f>
        <v/>
      </c>
      <c r="AB18" t="str">
        <f>IFERROR(VLOOKUP($B18,$AB$4:$AP$5,15,FALSE),"")</f>
        <v/>
      </c>
      <c r="AC18" t="str">
        <f>IFERROR(VLOOKUP($B18,$AC$4:$AP$5,14,FALSE),"")</f>
        <v/>
      </c>
      <c r="AD18" t="str">
        <f>IFERROR(VLOOKUP($B18,$AD$4:$AP$5,13,FALSE),"")</f>
        <v/>
      </c>
      <c r="AE18" t="str">
        <f>IFERROR(VLOOKUP($B18,$AE$4:$AP$5,12,FALSE),"")</f>
        <v/>
      </c>
      <c r="AF18" t="str">
        <f>IFERROR(VLOOKUP($B18,$AF$4:$AP$5,11,FALSE),"")</f>
        <v/>
      </c>
      <c r="AG18" t="str">
        <f>IFERROR(VLOOKUP($B18,$AG$4:$AP$5,10,FALSE),"")</f>
        <v/>
      </c>
      <c r="AH18" t="str">
        <f>IFERROR(VLOOKUP($B18,$AH$4:$AP$5,9,FALSE),"")</f>
        <v/>
      </c>
      <c r="AI18" t="str">
        <f>IFERROR(VLOOKUP($B18,$AI$4:$AP$5,8,FALSE),"")</f>
        <v/>
      </c>
      <c r="AJ18" t="str">
        <f>IFERROR(VLOOKUP($B18,$AJ$4:$AP$5,7,FALSE),"")</f>
        <v/>
      </c>
      <c r="AK18" t="str">
        <f>IFERROR(VLOOKUP($B18,$AK$4:$AP$5,6,FALSE),"")</f>
        <v/>
      </c>
      <c r="AL18" t="str">
        <f>IFERROR(VLOOKUP($B18,$AL$4:$AP$5,5,FALSE),"")</f>
        <v/>
      </c>
      <c r="AM18" t="str">
        <f>IFERROR(VLOOKUP($B18,$AM$4:$AP$5,4,FALSE),"")</f>
        <v/>
      </c>
      <c r="AN18" t="str">
        <f>IFERROR(VLOOKUP($B18,$AN$4:$AP$5,3,FALSE),"")</f>
        <v/>
      </c>
      <c r="AO18" t="str">
        <f>IFERROR(VLOOKUP($B18,$AN$4:$AP$5,3,FALSE),"")</f>
        <v/>
      </c>
      <c r="AQ18" s="41">
        <v>7</v>
      </c>
      <c r="AR18" s="118">
        <f>Tabulka13[[#This Row],[Race no.]]</f>
        <v>6</v>
      </c>
      <c r="AS18" s="42" t="str">
        <f>Tabulka13[[#This Row],[Surname and name]]</f>
        <v>Arnošt DRCMÁNEK</v>
      </c>
      <c r="AT18" s="40" t="str">
        <f>Tabulka13[[#This Row],[Team]]</f>
        <v>TUFO PARDUS Prostějov z.s.</v>
      </c>
      <c r="AU18" s="40">
        <f>Tabulka13[[#This Row],[UCI ID]]</f>
        <v>10120198138</v>
      </c>
      <c r="AV18" s="36" t="e">
        <f>#REF!</f>
        <v>#REF!</v>
      </c>
      <c r="AW18" s="36" t="e">
        <f>#REF!</f>
        <v>#REF!</v>
      </c>
      <c r="AX18">
        <f>Tabulka13[[#This Row],[Body_bod]]</f>
        <v>3</v>
      </c>
    </row>
    <row r="19" spans="1:50" ht="15.75">
      <c r="A19" s="14">
        <f>RANK(Tabulka13[[#This Row],[Body_bod]],Tabulka13[Body_bod],0)</f>
        <v>6</v>
      </c>
      <c r="B19" s="44">
        <v>28</v>
      </c>
      <c r="C19" s="15">
        <v>10120021922</v>
      </c>
      <c r="D19" s="16" t="s">
        <v>375</v>
      </c>
      <c r="E19" s="17" t="s">
        <v>376</v>
      </c>
      <c r="F19" s="18" t="s">
        <v>345</v>
      </c>
      <c r="G19" s="49">
        <f>IFERROR(VLOOKUP(Tabulka13[[#This Row],[Race no.]],Vylučovačka!D:E,2,FALSE),"x")</f>
        <v>7</v>
      </c>
      <c r="H19" s="20">
        <f>IFERROR(VLOOKUP(G19,List1!B:C,2,FALSE),0)</f>
        <v>28</v>
      </c>
      <c r="I19" s="116">
        <f>SUM(L19:X19)</f>
        <v>3</v>
      </c>
      <c r="J19" s="50">
        <f>IFERROR(VLOOKUP(Tabulka13[[#This Row],[Race no.]],Bodovacka!D:E,2,FALSE),"x")</f>
        <v>22</v>
      </c>
      <c r="K19" s="22">
        <f>SUM(Y19:AO19)</f>
        <v>0</v>
      </c>
      <c r="L19" s="23" t="str">
        <f>IFERROR(VLOOKUP($B19,$L$2:$X$5,13,FALSE),"")</f>
        <v/>
      </c>
      <c r="M19" s="23">
        <f>IFERROR(VLOOKUP($B19,$M$2:$X$5,12,FALSE),"")</f>
        <v>3</v>
      </c>
      <c r="N19" s="23" t="str">
        <f>IFERROR(VLOOKUP($B19,$N$2:$X$5,11,FALSE),"")</f>
        <v/>
      </c>
      <c r="O19" s="23" t="str">
        <f>IFERROR(VLOOKUP($B19,$O$2:$X$5,10,FALSE),"")</f>
        <v/>
      </c>
      <c r="P19" s="23" t="str">
        <f>IFERROR(VLOOKUP($B19,$P$2:$X$5,9,FALSE),"")</f>
        <v/>
      </c>
      <c r="Q19" s="23" t="str">
        <f>IFERROR(VLOOKUP($B19,$Q$2:$X$5,8,FALSE),"")</f>
        <v/>
      </c>
      <c r="R19" s="23" t="str">
        <f>IFERROR(VLOOKUP($B19,$R$2:$X$5,7,FALSE),"")</f>
        <v/>
      </c>
      <c r="S19" s="23" t="str">
        <f>IFERROR(VLOOKUP($B19,$S$2:$X$5,7,FALSE),"")</f>
        <v/>
      </c>
      <c r="T19" s="23" t="str">
        <f>IFERROR(VLOOKUP($B19,$R$2:$X$5,7,FALSE),"")</f>
        <v/>
      </c>
      <c r="U19" s="23" t="str">
        <f>IFERROR(VLOOKUP($B19,$R$2:$X$5,7,FALSE),"")</f>
        <v/>
      </c>
      <c r="V19" s="23" t="str">
        <f>IFERROR(VLOOKUP($B19,$R$2:$X$5,7,FALSE),"")</f>
        <v/>
      </c>
      <c r="W19" s="23" t="str">
        <f>IFERROR(VLOOKUP($B19,$W$2:$X$5,2,FALSE)*2,"")</f>
        <v/>
      </c>
      <c r="X19" s="23"/>
      <c r="Y19" t="str">
        <f>IFERROR(VLOOKUP($B19,$Y$4:$AP$5,18,FALSE),"")</f>
        <v/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v>8</v>
      </c>
      <c r="AR19" s="118">
        <f>Tabulka13[[#This Row],[Race no.]]</f>
        <v>28</v>
      </c>
      <c r="AS19" s="42" t="str">
        <f>Tabulka13[[#This Row],[Surname and name]]</f>
        <v>Matheo ZAMBELLI</v>
      </c>
      <c r="AT19" s="40" t="str">
        <f>Tabulka13[[#This Row],[Team]]</f>
        <v>RC Felbermayr Wels</v>
      </c>
      <c r="AU19" s="40">
        <f>Tabulka13[[#This Row],[UCI ID]]</f>
        <v>10120021922</v>
      </c>
      <c r="AV19" s="36" t="e">
        <f>#REF!</f>
        <v>#REF!</v>
      </c>
      <c r="AW19" s="36" t="e">
        <f>#REF!</f>
        <v>#REF!</v>
      </c>
      <c r="AX19">
        <f>Tabulka13[[#This Row],[Body_bod]]</f>
        <v>3</v>
      </c>
    </row>
    <row r="20" spans="1:50" ht="15.75">
      <c r="A20" s="14">
        <f>RANK(Tabulka13[[#This Row],[Body_bod]],Tabulka13[Body_bod],0)</f>
        <v>9</v>
      </c>
      <c r="B20" s="44">
        <v>8</v>
      </c>
      <c r="C20" s="15">
        <v>10128197406</v>
      </c>
      <c r="D20" s="16" t="s">
        <v>350</v>
      </c>
      <c r="E20" s="17" t="s">
        <v>351</v>
      </c>
      <c r="F20" s="18" t="s">
        <v>345</v>
      </c>
      <c r="G20" s="49">
        <f>IFERROR(VLOOKUP(Tabulka13[[#This Row],[Race no.]],Vylučovačka!D:E,2,FALSE),"x")</f>
        <v>8</v>
      </c>
      <c r="H20" s="20">
        <f>IFERROR(VLOOKUP(G20,List1!B:C,2,FALSE),0)</f>
        <v>26</v>
      </c>
      <c r="I20" s="116">
        <f>SUM(L20:X20)</f>
        <v>2</v>
      </c>
      <c r="J20" s="50">
        <f>IFERROR(VLOOKUP(Tabulka13[[#This Row],[Race no.]],Bodovacka!D:E,2,FALSE),"x")</f>
        <v>13</v>
      </c>
      <c r="K20" s="22">
        <f>SUM(Y20:AO20)</f>
        <v>0</v>
      </c>
      <c r="L20" s="23" t="str">
        <f>IFERROR(VLOOKUP($B20,$L$2:$X$5,13,FALSE),"")</f>
        <v/>
      </c>
      <c r="M20" s="23">
        <f>IFERROR(VLOOKUP($B20,$M$2:$X$5,12,FALSE),"")</f>
        <v>1</v>
      </c>
      <c r="N20" s="23">
        <f>IFERROR(VLOOKUP($B20,$N$2:$X$5,11,FALSE),"")</f>
        <v>1</v>
      </c>
      <c r="O20" s="23" t="str">
        <f>IFERROR(VLOOKUP($B20,$O$2:$X$5,10,FALSE),"")</f>
        <v/>
      </c>
      <c r="P20" s="23" t="str">
        <f>IFERROR(VLOOKUP($B20,$P$2:$X$5,9,FALSE),"")</f>
        <v/>
      </c>
      <c r="Q20" s="23" t="str">
        <f>IFERROR(VLOOKUP($B20,$Q$2:$X$5,8,FALSE),"")</f>
        <v/>
      </c>
      <c r="R20" s="23" t="str">
        <f>IFERROR(VLOOKUP($B20,$R$2:$X$5,7,FALSE),"")</f>
        <v/>
      </c>
      <c r="S20" s="23" t="str">
        <f>IFERROR(VLOOKUP($B20,$S$2:$X$5,7,FALSE),"")</f>
        <v/>
      </c>
      <c r="T20" s="23" t="str">
        <f>IFERROR(VLOOKUP($B20,$R$2:$X$5,7,FALSE),"")</f>
        <v/>
      </c>
      <c r="U20" s="23" t="str">
        <f>IFERROR(VLOOKUP($B20,$R$2:$X$5,7,FALSE),"")</f>
        <v/>
      </c>
      <c r="V20" s="23" t="str">
        <f>IFERROR(VLOOKUP($B20,$R$2:$X$5,7,FALSE),"")</f>
        <v/>
      </c>
      <c r="W20" s="23" t="str">
        <f>IFERROR(VLOOKUP($B20,$W$2:$X$5,2,FALSE)*2,"")</f>
        <v/>
      </c>
      <c r="X20" s="23"/>
      <c r="Y20" t="str">
        <f>IFERROR(VLOOKUP($B20,$Y$4:$AP$5,18,FALSE),"")</f>
        <v/>
      </c>
      <c r="Z20" t="str">
        <f>IFERROR(VLOOKUP($B20,$Z$4:$AP$5,17,FALSE),"")</f>
        <v/>
      </c>
      <c r="AA20" t="str">
        <f>IFERROR(VLOOKUP($B20,$AA$4:$AP$5,16,FALSE),"")</f>
        <v/>
      </c>
      <c r="AB20" t="str">
        <f>IFERROR(VLOOKUP($B20,$AB$4:$AP$5,15,FALSE),"")</f>
        <v/>
      </c>
      <c r="AC20" t="str">
        <f>IFERROR(VLOOKUP($B20,$AC$4:$AP$5,14,FALSE),"")</f>
        <v/>
      </c>
      <c r="AD20" t="str">
        <f>IFERROR(VLOOKUP($B20,$AD$4:$AP$5,13,FALSE),"")</f>
        <v/>
      </c>
      <c r="AE20" t="str">
        <f>IFERROR(VLOOKUP($B20,$AE$4:$AP$5,12,FALSE),"")</f>
        <v/>
      </c>
      <c r="AF20" t="str">
        <f>IFERROR(VLOOKUP($B20,$AF$4:$AP$5,11,FALSE),"")</f>
        <v/>
      </c>
      <c r="AG20" t="str">
        <f>IFERROR(VLOOKUP($B20,$AG$4:$AP$5,10,FALSE),"")</f>
        <v/>
      </c>
      <c r="AH20" t="str">
        <f>IFERROR(VLOOKUP($B20,$AH$4:$AP$5,9,FALSE),"")</f>
        <v/>
      </c>
      <c r="AI20" t="str">
        <f>IFERROR(VLOOKUP($B20,$AI$4:$AP$5,8,FALSE),"")</f>
        <v/>
      </c>
      <c r="AJ20" t="str">
        <f>IFERROR(VLOOKUP($B20,$AJ$4:$AP$5,7,FALSE),"")</f>
        <v/>
      </c>
      <c r="AK20" t="str">
        <f>IFERROR(VLOOKUP($B20,$AK$4:$AP$5,6,FALSE),"")</f>
        <v/>
      </c>
      <c r="AL20" t="str">
        <f>IFERROR(VLOOKUP($B20,$AL$4:$AP$5,5,FALSE),"")</f>
        <v/>
      </c>
      <c r="AM20" t="str">
        <f>IFERROR(VLOOKUP($B20,$AM$4:$AP$5,4,FALSE),"")</f>
        <v/>
      </c>
      <c r="AN20" t="str">
        <f>IFERROR(VLOOKUP($B20,$AN$4:$AP$5,3,FALSE),"")</f>
        <v/>
      </c>
      <c r="AO20" t="str">
        <f>IFERROR(VLOOKUP($B20,$AN$4:$AP$5,3,FALSE),"")</f>
        <v/>
      </c>
      <c r="AQ20" s="41">
        <v>9</v>
      </c>
      <c r="AR20" s="118">
        <f>Tabulka13[[#This Row],[Race no.]]</f>
        <v>8</v>
      </c>
      <c r="AS20" s="42" t="str">
        <f>Tabulka13[[#This Row],[Surname and name]]</f>
        <v>Jakub SKLÁŘ</v>
      </c>
      <c r="AT20" s="40" t="str">
        <f>Tabulka13[[#This Row],[Team]]</f>
        <v>TJ FAVORIT BRNO</v>
      </c>
      <c r="AU20" s="40">
        <f>Tabulka13[[#This Row],[UCI ID]]</f>
        <v>10128197406</v>
      </c>
      <c r="AV20" s="36" t="e">
        <f>#REF!</f>
        <v>#REF!</v>
      </c>
      <c r="AW20" s="36" t="e">
        <f>#REF!</f>
        <v>#REF!</v>
      </c>
      <c r="AX20">
        <f>Tabulka13[[#This Row],[Body_bod]]</f>
        <v>2</v>
      </c>
    </row>
    <row r="21" spans="1:50" ht="15.75">
      <c r="A21" s="14">
        <f>RANK(Tabulka13[[#This Row],[Body_bod]],Tabulka13[Body_bod],0)</f>
        <v>10</v>
      </c>
      <c r="B21" s="44">
        <v>11</v>
      </c>
      <c r="C21" s="15">
        <v>10046080943</v>
      </c>
      <c r="D21" s="16" t="s">
        <v>354</v>
      </c>
      <c r="E21" s="17" t="s">
        <v>355</v>
      </c>
      <c r="F21" s="18" t="s">
        <v>345</v>
      </c>
      <c r="G21" s="49">
        <f>IFERROR(VLOOKUP(Tabulka13[[#This Row],[Race no.]],Vylučovačka!D:E,2,FALSE),"x")</f>
        <v>11</v>
      </c>
      <c r="H21" s="20">
        <f>IFERROR(VLOOKUP(G21,List1!B:C,2,FALSE),0)</f>
        <v>20</v>
      </c>
      <c r="I21" s="22">
        <f>SUM(L21:X21)</f>
        <v>0</v>
      </c>
      <c r="J21" s="50">
        <f>IFERROR(VLOOKUP(Tabulka13[[#This Row],[Race no.]],Bodovacka!D:E,2,FALSE),"x")</f>
        <v>5</v>
      </c>
      <c r="K21" s="22">
        <f>SUM(Y21:AO21)</f>
        <v>0</v>
      </c>
      <c r="L21" s="23" t="str">
        <f>IFERROR(VLOOKUP($B21,$L$2:$X$5,13,FALSE),"")</f>
        <v/>
      </c>
      <c r="M21" s="23" t="str">
        <f>IFERROR(VLOOKUP($B21,$M$2:$X$5,12,FALSE),"")</f>
        <v/>
      </c>
      <c r="N21" s="23" t="str">
        <f>IFERROR(VLOOKUP($B21,$N$2:$X$5,11,FALSE),"")</f>
        <v/>
      </c>
      <c r="O21" s="23" t="str">
        <f>IFERROR(VLOOKUP($B21,$O$2:$X$5,10,FALSE),"")</f>
        <v/>
      </c>
      <c r="P21" s="23" t="str">
        <f>IFERROR(VLOOKUP($B21,$P$2:$X$5,9,FALSE),"")</f>
        <v/>
      </c>
      <c r="Q21" s="23" t="str">
        <f>IFERROR(VLOOKUP($B21,$Q$2:$X$5,8,FALSE),"")</f>
        <v/>
      </c>
      <c r="R21" s="23" t="str">
        <f>IFERROR(VLOOKUP($B21,$R$2:$X$5,7,FALSE),"")</f>
        <v/>
      </c>
      <c r="S21" s="23" t="str">
        <f>IFERROR(VLOOKUP($B21,$S$2:$X$5,7,FALSE),"")</f>
        <v/>
      </c>
      <c r="T21" s="23" t="str">
        <f>IFERROR(VLOOKUP($B21,$R$2:$X$5,7,FALSE),"")</f>
        <v/>
      </c>
      <c r="U21" s="23" t="str">
        <f>IFERROR(VLOOKUP($B21,$R$2:$X$5,7,FALSE),"")</f>
        <v/>
      </c>
      <c r="V21" s="23" t="str">
        <f>IFERROR(VLOOKUP($B21,$R$2:$X$5,7,FALSE),"")</f>
        <v/>
      </c>
      <c r="W21" s="23" t="str">
        <f>IFERROR(VLOOKUP($B21,$W$2:$X$5,2,FALSE)*2,"")</f>
        <v/>
      </c>
      <c r="X21" s="23"/>
      <c r="Y21" t="str">
        <f>IFERROR(VLOOKUP($B21,$Y$4:$AP$5,18,FALSE),"")</f>
        <v/>
      </c>
      <c r="Z21" t="str">
        <f>IFERROR(VLOOKUP($B21,$Z$4:$AP$5,17,FALSE),"")</f>
        <v/>
      </c>
      <c r="AA21" t="str">
        <f>IFERROR(VLOOKUP($B21,$AA$4:$AP$5,16,FALSE),"")</f>
        <v/>
      </c>
      <c r="AB21" t="str">
        <f>IFERROR(VLOOKUP($B21,$AB$4:$AP$5,15,FALSE),"")</f>
        <v/>
      </c>
      <c r="AC21" t="str">
        <f>IFERROR(VLOOKUP($B21,$AC$4:$AP$5,14,FALSE),"")</f>
        <v/>
      </c>
      <c r="AD21" t="str">
        <f>IFERROR(VLOOKUP($B21,$AD$4:$AP$5,13,FALSE),"")</f>
        <v/>
      </c>
      <c r="AE21" t="str">
        <f>IFERROR(VLOOKUP($B21,$AE$4:$AP$5,12,FALSE),"")</f>
        <v/>
      </c>
      <c r="AF21" t="str">
        <f>IFERROR(VLOOKUP($B21,$AF$4:$AP$5,11,FALSE),"")</f>
        <v/>
      </c>
      <c r="AG21" t="str">
        <f>IFERROR(VLOOKUP($B21,$AG$4:$AP$5,10,FALSE),"")</f>
        <v/>
      </c>
      <c r="AH21" t="str">
        <f>IFERROR(VLOOKUP($B21,$AH$4:$AP$5,9,FALSE),"")</f>
        <v/>
      </c>
      <c r="AI21" t="str">
        <f>IFERROR(VLOOKUP($B21,$AI$4:$AP$5,8,FALSE),"")</f>
        <v/>
      </c>
      <c r="AJ21" t="str">
        <f>IFERROR(VLOOKUP($B21,$AJ$4:$AP$5,7,FALSE),"")</f>
        <v/>
      </c>
      <c r="AK21" t="str">
        <f>IFERROR(VLOOKUP($B21,$AK$4:$AP$5,6,FALSE),"")</f>
        <v/>
      </c>
      <c r="AL21" t="str">
        <f>IFERROR(VLOOKUP($B21,$AL$4:$AP$5,5,FALSE),"")</f>
        <v/>
      </c>
      <c r="AM21" t="str">
        <f>IFERROR(VLOOKUP($B21,$AM$4:$AP$5,4,FALSE),"")</f>
        <v/>
      </c>
      <c r="AN21" t="str">
        <f>IFERROR(VLOOKUP($B21,$AN$4:$AP$5,3,FALSE),"")</f>
        <v/>
      </c>
      <c r="AO21" t="str">
        <f>IFERROR(VLOOKUP($B21,$AN$4:$AP$5,3,FALSE),"")</f>
        <v/>
      </c>
      <c r="AQ21" s="41">
        <v>10</v>
      </c>
      <c r="AR21" s="118">
        <f>Tabulka13[[#This Row],[Race no.]]</f>
        <v>11</v>
      </c>
      <c r="AS21" s="42" t="str">
        <f>Tabulka13[[#This Row],[Surname and name]]</f>
        <v>Matej RIŠKA</v>
      </c>
      <c r="AT21" s="40" t="str">
        <f>Tabulka13[[#This Row],[Team]]</f>
        <v>CK Epic Dohňany</v>
      </c>
      <c r="AU21" s="40">
        <f>Tabulka13[[#This Row],[UCI ID]]</f>
        <v>10046080943</v>
      </c>
      <c r="AV21" s="36" t="e">
        <f>#REF!</f>
        <v>#REF!</v>
      </c>
      <c r="AW21" s="36" t="e">
        <f>#REF!</f>
        <v>#REF!</v>
      </c>
      <c r="AX21">
        <f>Tabulka13[[#This Row],[Body_bod]]</f>
        <v>0</v>
      </c>
    </row>
    <row r="22" spans="1:50" ht="15.75">
      <c r="A22" s="14">
        <f>RANK(Tabulka13[[#This Row],[Body_bod]],Tabulka13[Body_bod],0)</f>
        <v>10</v>
      </c>
      <c r="B22" s="44">
        <v>17</v>
      </c>
      <c r="C22" s="15">
        <v>10107354934</v>
      </c>
      <c r="D22" s="16" t="s">
        <v>362</v>
      </c>
      <c r="E22" s="17" t="s">
        <v>359</v>
      </c>
      <c r="F22" s="18" t="s">
        <v>342</v>
      </c>
      <c r="G22" s="49">
        <f>IFERROR(VLOOKUP(Tabulka13[[#This Row],[Race no.]],Vylučovačka!D:E,2,FALSE),"x")</f>
        <v>10</v>
      </c>
      <c r="H22" s="20">
        <f>IFERROR(VLOOKUP(G22,List1!B:C,2,FALSE),0)</f>
        <v>22</v>
      </c>
      <c r="I22" s="22">
        <f>SUM(L22:X22)</f>
        <v>0</v>
      </c>
      <c r="J22" s="50">
        <f>IFERROR(VLOOKUP(Tabulka13[[#This Row],[Race no.]],Bodovacka!D:E,2,FALSE),"x")</f>
        <v>7</v>
      </c>
      <c r="K22" s="22">
        <f>SUM(Y22:AO22)</f>
        <v>0</v>
      </c>
      <c r="L22" s="23" t="str">
        <f>IFERROR(VLOOKUP($B22,$L$2:$X$5,13,FALSE),"")</f>
        <v/>
      </c>
      <c r="M22" s="23" t="str">
        <f>IFERROR(VLOOKUP($B22,$M$2:$X$5,12,FALSE),"")</f>
        <v/>
      </c>
      <c r="N22" s="23" t="str">
        <f>IFERROR(VLOOKUP($B22,$N$2:$X$5,11,FALSE),"")</f>
        <v/>
      </c>
      <c r="O22" s="23" t="str">
        <f>IFERROR(VLOOKUP($B22,$O$2:$X$5,10,FALSE),"")</f>
        <v/>
      </c>
      <c r="P22" s="23" t="str">
        <f>IFERROR(VLOOKUP($B22,$P$2:$X$5,9,FALSE),"")</f>
        <v/>
      </c>
      <c r="Q22" s="23" t="str">
        <f>IFERROR(VLOOKUP($B22,$Q$2:$X$5,8,FALSE),"")</f>
        <v/>
      </c>
      <c r="R22" s="23" t="str">
        <f>IFERROR(VLOOKUP($B22,$R$2:$X$5,7,FALSE),"")</f>
        <v/>
      </c>
      <c r="S22" s="23" t="str">
        <f>IFERROR(VLOOKUP($B22,$S$2:$X$5,7,FALSE),"")</f>
        <v/>
      </c>
      <c r="T22" s="23" t="str">
        <f>IFERROR(VLOOKUP($B22,$R$2:$X$5,7,FALSE),"")</f>
        <v/>
      </c>
      <c r="U22" s="23" t="str">
        <f>IFERROR(VLOOKUP($B22,$R$2:$X$5,7,FALSE),"")</f>
        <v/>
      </c>
      <c r="V22" s="23" t="str">
        <f>IFERROR(VLOOKUP($B22,$R$2:$X$5,7,FALSE),"")</f>
        <v/>
      </c>
      <c r="W22" s="23" t="str">
        <f>IFERROR(VLOOKUP($B22,$W$2:$X$5,2,FALSE)*2,"")</f>
        <v/>
      </c>
      <c r="X22" s="23"/>
      <c r="Y22" t="str">
        <f>IFERROR(VLOOKUP($B22,$Y$4:$AP$5,18,FALSE),"")</f>
        <v/>
      </c>
      <c r="Z22" t="str">
        <f>IFERROR(VLOOKUP($B22,$Z$4:$AP$5,17,FALSE),"")</f>
        <v/>
      </c>
      <c r="AA22" t="str">
        <f>IFERROR(VLOOKUP($B22,$AA$4:$AP$5,16,FALSE),"")</f>
        <v/>
      </c>
      <c r="AB22" t="str">
        <f>IFERROR(VLOOKUP($B22,$AB$4:$AP$5,15,FALSE),"")</f>
        <v/>
      </c>
      <c r="AC22" t="str">
        <f>IFERROR(VLOOKUP($B22,$AC$4:$AP$5,14,FALSE),"")</f>
        <v/>
      </c>
      <c r="AD22" t="str">
        <f>IFERROR(VLOOKUP($B22,$AD$4:$AP$5,13,FALSE),"")</f>
        <v/>
      </c>
      <c r="AE22" t="str">
        <f>IFERROR(VLOOKUP($B22,$AE$4:$AP$5,12,FALSE),"")</f>
        <v/>
      </c>
      <c r="AF22" t="str">
        <f>IFERROR(VLOOKUP($B22,$AF$4:$AP$5,11,FALSE),"")</f>
        <v/>
      </c>
      <c r="AG22" t="str">
        <f>IFERROR(VLOOKUP($B22,$AG$4:$AP$5,10,FALSE),"")</f>
        <v/>
      </c>
      <c r="AH22" t="str">
        <f>IFERROR(VLOOKUP($B22,$AH$4:$AP$5,9,FALSE),"")</f>
        <v/>
      </c>
      <c r="AI22" t="str">
        <f>IFERROR(VLOOKUP($B22,$AI$4:$AP$5,8,FALSE),"")</f>
        <v/>
      </c>
      <c r="AJ22" t="str">
        <f>IFERROR(VLOOKUP($B22,$AJ$4:$AP$5,7,FALSE),"")</f>
        <v/>
      </c>
      <c r="AK22" t="str">
        <f>IFERROR(VLOOKUP($B22,$AK$4:$AP$5,6,FALSE),"")</f>
        <v/>
      </c>
      <c r="AL22" t="str">
        <f>IFERROR(VLOOKUP($B22,$AL$4:$AP$5,5,FALSE),"")</f>
        <v/>
      </c>
      <c r="AM22" t="str">
        <f>IFERROR(VLOOKUP($B22,$AM$4:$AP$5,4,FALSE),"")</f>
        <v/>
      </c>
      <c r="AN22" t="str">
        <f>IFERROR(VLOOKUP($B22,$AN$4:$AP$5,3,FALSE),"")</f>
        <v/>
      </c>
      <c r="AO22" t="str">
        <f>IFERROR(VLOOKUP($B22,$AN$4:$AP$5,3,FALSE),"")</f>
        <v/>
      </c>
      <c r="AQ22" s="41">
        <v>11</v>
      </c>
      <c r="AR22" s="118">
        <f>Tabulka13[[#This Row],[Race no.]]</f>
        <v>17</v>
      </c>
      <c r="AS22" s="42" t="str">
        <f>Tabulka13[[#This Row],[Surname and name]]</f>
        <v>Matej GALOVIČ</v>
      </c>
      <c r="AT22" s="40" t="str">
        <f>Tabulka13[[#This Row],[Team]]</f>
        <v>CyS Akadémia Petera Sagana</v>
      </c>
      <c r="AU22" s="40">
        <f>Tabulka13[[#This Row],[UCI ID]]</f>
        <v>10107354934</v>
      </c>
      <c r="AV22" s="36" t="e">
        <f>#REF!</f>
        <v>#REF!</v>
      </c>
      <c r="AW22" s="36" t="e">
        <f>#REF!</f>
        <v>#REF!</v>
      </c>
      <c r="AX22">
        <f>Tabulka13[[#This Row],[Body_bod]]</f>
        <v>0</v>
      </c>
    </row>
    <row r="23" spans="1:50" ht="15.75">
      <c r="A23" s="14">
        <f>RANK(Tabulka13[[#This Row],[Body_bod]],Tabulka13[Body_bod],0)</f>
        <v>10</v>
      </c>
      <c r="B23" s="44">
        <v>5</v>
      </c>
      <c r="C23" s="15">
        <v>10104974996</v>
      </c>
      <c r="D23" s="16" t="s">
        <v>347</v>
      </c>
      <c r="E23" s="17" t="s">
        <v>341</v>
      </c>
      <c r="F23" s="18" t="s">
        <v>345</v>
      </c>
      <c r="G23" s="49">
        <f>IFERROR(VLOOKUP(Tabulka13[[#This Row],[Race no.]],Vylučovačka!D:E,2,FALSE),"x")</f>
        <v>14</v>
      </c>
      <c r="H23" s="20">
        <f>IFERROR(VLOOKUP(G23,List1!B:C,2,FALSE),0)</f>
        <v>14</v>
      </c>
      <c r="I23" s="22">
        <f>SUM(L23:X23)</f>
        <v>0</v>
      </c>
      <c r="J23" s="50">
        <f>IFERROR(VLOOKUP(Tabulka13[[#This Row],[Race no.]],Bodovacka!D:E,2,FALSE),"x")</f>
        <v>8</v>
      </c>
      <c r="K23" s="22">
        <f>SUM(Y23:AO23)</f>
        <v>0</v>
      </c>
      <c r="L23" s="23" t="str">
        <f>IFERROR(VLOOKUP($B23,$L$2:$X$5,13,FALSE),"")</f>
        <v/>
      </c>
      <c r="M23" s="23" t="str">
        <f>IFERROR(VLOOKUP($B23,$M$2:$X$5,12,FALSE),"")</f>
        <v/>
      </c>
      <c r="N23" s="23" t="str">
        <f>IFERROR(VLOOKUP($B23,$N$2:$X$5,11,FALSE),"")</f>
        <v/>
      </c>
      <c r="O23" s="23" t="str">
        <f>IFERROR(VLOOKUP($B23,$O$2:$X$5,10,FALSE),"")</f>
        <v/>
      </c>
      <c r="P23" s="23" t="str">
        <f>IFERROR(VLOOKUP($B23,$P$2:$X$5,9,FALSE),"")</f>
        <v/>
      </c>
      <c r="Q23" s="23" t="str">
        <f>IFERROR(VLOOKUP($B23,$Q$2:$X$5,8,FALSE),"")</f>
        <v/>
      </c>
      <c r="R23" s="23" t="str">
        <f>IFERROR(VLOOKUP($B23,$R$2:$X$5,7,FALSE),"")</f>
        <v/>
      </c>
      <c r="S23" s="23" t="str">
        <f>IFERROR(VLOOKUP($B23,$S$2:$X$5,7,FALSE),"")</f>
        <v/>
      </c>
      <c r="T23" s="23" t="str">
        <f>IFERROR(VLOOKUP($B23,$R$2:$X$5,7,FALSE),"")</f>
        <v/>
      </c>
      <c r="U23" s="23" t="str">
        <f>IFERROR(VLOOKUP($B23,$R$2:$X$5,7,FALSE),"")</f>
        <v/>
      </c>
      <c r="V23" s="23" t="str">
        <f>IFERROR(VLOOKUP($B23,$R$2:$X$5,7,FALSE),"")</f>
        <v/>
      </c>
      <c r="W23" s="23" t="str">
        <f>IFERROR(VLOOKUP($B23,$W$2:$X$5,2,FALSE)*2,"")</f>
        <v/>
      </c>
      <c r="X23" s="23"/>
      <c r="Y23" t="str">
        <f>IFERROR(VLOOKUP($B23,$Y$4:$AP$5,18,FALSE),"")</f>
        <v/>
      </c>
      <c r="Z23" t="str">
        <f>IFERROR(VLOOKUP($B23,$Z$4:$AP$5,17,FALSE),"")</f>
        <v/>
      </c>
      <c r="AA23" t="str">
        <f>IFERROR(VLOOKUP($B23,$AA$4:$AP$5,16,FALSE),"")</f>
        <v/>
      </c>
      <c r="AB23" t="str">
        <f>IFERROR(VLOOKUP($B23,$AB$4:$AP$5,15,FALSE),"")</f>
        <v/>
      </c>
      <c r="AC23" t="str">
        <f>IFERROR(VLOOKUP($B23,$AC$4:$AP$5,14,FALSE),"")</f>
        <v/>
      </c>
      <c r="AD23" t="str">
        <f>IFERROR(VLOOKUP($B23,$AD$4:$AP$5,13,FALSE),"")</f>
        <v/>
      </c>
      <c r="AE23" t="str">
        <f>IFERROR(VLOOKUP($B23,$AE$4:$AP$5,12,FALSE),"")</f>
        <v/>
      </c>
      <c r="AF23" t="str">
        <f>IFERROR(VLOOKUP($B23,$AF$4:$AP$5,11,FALSE),"")</f>
        <v/>
      </c>
      <c r="AG23" t="str">
        <f>IFERROR(VLOOKUP($B23,$AG$4:$AP$5,10,FALSE),"")</f>
        <v/>
      </c>
      <c r="AH23" t="str">
        <f>IFERROR(VLOOKUP($B23,$AH$4:$AP$5,9,FALSE),"")</f>
        <v/>
      </c>
      <c r="AI23" t="str">
        <f>IFERROR(VLOOKUP($B23,$AI$4:$AP$5,8,FALSE),"")</f>
        <v/>
      </c>
      <c r="AJ23" t="str">
        <f>IFERROR(VLOOKUP($B23,$AJ$4:$AP$5,7,FALSE),"")</f>
        <v/>
      </c>
      <c r="AK23" t="str">
        <f>IFERROR(VLOOKUP($B23,$AK$4:$AP$5,6,FALSE),"")</f>
        <v/>
      </c>
      <c r="AL23" t="str">
        <f>IFERROR(VLOOKUP($B23,$AL$4:$AP$5,5,FALSE),"")</f>
        <v/>
      </c>
      <c r="AM23" t="str">
        <f>IFERROR(VLOOKUP($B23,$AM$4:$AP$5,4,FALSE),"")</f>
        <v/>
      </c>
      <c r="AN23" t="str">
        <f>IFERROR(VLOOKUP($B23,$AN$4:$AP$5,3,FALSE),"")</f>
        <v/>
      </c>
      <c r="AO23" t="str">
        <f>IFERROR(VLOOKUP($B23,$AN$4:$AP$5,3,FALSE),"")</f>
        <v/>
      </c>
      <c r="AQ23" s="41">
        <v>12</v>
      </c>
      <c r="AR23" s="118">
        <f>Tabulka13[[#This Row],[Race no.]]</f>
        <v>5</v>
      </c>
      <c r="AS23" s="42" t="str">
        <f>Tabulka13[[#This Row],[Surname and name]]</f>
        <v>Matěj DEDEK</v>
      </c>
      <c r="AT23" s="40" t="str">
        <f>Tabulka13[[#This Row],[Team]]</f>
        <v>TUFO PARDUS Prostějov z.s.</v>
      </c>
      <c r="AU23" s="40">
        <f>Tabulka13[[#This Row],[UCI ID]]</f>
        <v>10104974996</v>
      </c>
      <c r="AV23" s="36" t="e">
        <f>#REF!</f>
        <v>#REF!</v>
      </c>
      <c r="AW23" s="36" t="e">
        <f>#REF!</f>
        <v>#REF!</v>
      </c>
      <c r="AX23">
        <f>Tabulka13[[#This Row],[Body_bod]]</f>
        <v>0</v>
      </c>
    </row>
    <row r="24" spans="1:50" ht="15.75">
      <c r="A24" s="14">
        <f>RANK(Tabulka13[[#This Row],[Body_bod]],Tabulka13[Body_bod],0)</f>
        <v>10</v>
      </c>
      <c r="B24" s="44">
        <v>25</v>
      </c>
      <c r="C24" s="15">
        <v>10113786640</v>
      </c>
      <c r="D24" s="16" t="s">
        <v>371</v>
      </c>
      <c r="E24" s="17" t="s">
        <v>366</v>
      </c>
      <c r="F24" s="18" t="s">
        <v>345</v>
      </c>
      <c r="G24" s="49">
        <f>IFERROR(VLOOKUP(Tabulka13[[#This Row],[Race no.]],Vylučovačka!D:E,2,FALSE),"x")</f>
        <v>13</v>
      </c>
      <c r="H24" s="20">
        <f>IFERROR(VLOOKUP(G24,List1!B:C,2,FALSE),0)</f>
        <v>16</v>
      </c>
      <c r="I24" s="22">
        <f>SUM(L24:X24)</f>
        <v>0</v>
      </c>
      <c r="J24" s="50">
        <f>IFERROR(VLOOKUP(Tabulka13[[#This Row],[Race no.]],Bodovacka!D:E,2,FALSE),"x")</f>
        <v>9</v>
      </c>
      <c r="K24" s="22">
        <f>SUM(Y24:AO24)</f>
        <v>0</v>
      </c>
      <c r="L24" s="23" t="str">
        <f>IFERROR(VLOOKUP($B24,$L$2:$X$5,13,FALSE),"")</f>
        <v/>
      </c>
      <c r="M24" s="23" t="str">
        <f>IFERROR(VLOOKUP($B24,$M$2:$X$5,12,FALSE),"")</f>
        <v/>
      </c>
      <c r="N24" s="23" t="str">
        <f>IFERROR(VLOOKUP($B24,$N$2:$X$5,11,FALSE),"")</f>
        <v/>
      </c>
      <c r="O24" s="23" t="str">
        <f>IFERROR(VLOOKUP($B24,$O$2:$X$5,10,FALSE),"")</f>
        <v/>
      </c>
      <c r="P24" s="23" t="str">
        <f>IFERROR(VLOOKUP($B24,$P$2:$X$5,9,FALSE),"")</f>
        <v/>
      </c>
      <c r="Q24" s="23" t="str">
        <f>IFERROR(VLOOKUP($B24,$Q$2:$X$5,8,FALSE),"")</f>
        <v/>
      </c>
      <c r="R24" s="23" t="str">
        <f>IFERROR(VLOOKUP($B24,$R$2:$X$5,7,FALSE),"")</f>
        <v/>
      </c>
      <c r="S24" s="23" t="str">
        <f>IFERROR(VLOOKUP($B24,$S$2:$X$5,7,FALSE),"")</f>
        <v/>
      </c>
      <c r="T24" s="23" t="str">
        <f>IFERROR(VLOOKUP($B24,$R$2:$X$5,7,FALSE),"")</f>
        <v/>
      </c>
      <c r="U24" s="23" t="str">
        <f>IFERROR(VLOOKUP($B24,$R$2:$X$5,7,FALSE),"")</f>
        <v/>
      </c>
      <c r="V24" s="23" t="str">
        <f>IFERROR(VLOOKUP($B24,$R$2:$X$5,7,FALSE),"")</f>
        <v/>
      </c>
      <c r="W24" s="23" t="str">
        <f>IFERROR(VLOOKUP($B24,$W$2:$X$5,2,FALSE)*2,"")</f>
        <v/>
      </c>
      <c r="X24" s="23"/>
      <c r="Y24" t="str">
        <f>IFERROR(VLOOKUP($B24,$Y$4:$AP$5,18,FALSE),"")</f>
        <v/>
      </c>
      <c r="Z24" t="str">
        <f>IFERROR(VLOOKUP($B24,$Z$4:$AP$5,17,FALSE),"")</f>
        <v/>
      </c>
      <c r="AA24" t="str">
        <f>IFERROR(VLOOKUP($B24,$AA$4:$AP$5,16,FALSE),"")</f>
        <v/>
      </c>
      <c r="AB24" t="str">
        <f>IFERROR(VLOOKUP($B24,$AB$4:$AP$5,15,FALSE),"")</f>
        <v/>
      </c>
      <c r="AC24" t="str">
        <f>IFERROR(VLOOKUP($B24,$AC$4:$AP$5,14,FALSE),"")</f>
        <v/>
      </c>
      <c r="AD24" t="str">
        <f>IFERROR(VLOOKUP($B24,$AD$4:$AP$5,13,FALSE),"")</f>
        <v/>
      </c>
      <c r="AE24" t="str">
        <f>IFERROR(VLOOKUP($B24,$AE$4:$AP$5,12,FALSE),"")</f>
        <v/>
      </c>
      <c r="AF24" t="str">
        <f>IFERROR(VLOOKUP($B24,$AF$4:$AP$5,11,FALSE),"")</f>
        <v/>
      </c>
      <c r="AG24" t="str">
        <f>IFERROR(VLOOKUP($B24,$AG$4:$AP$5,10,FALSE),"")</f>
        <v/>
      </c>
      <c r="AH24" t="str">
        <f>IFERROR(VLOOKUP($B24,$AH$4:$AP$5,9,FALSE),"")</f>
        <v/>
      </c>
      <c r="AI24" t="str">
        <f>IFERROR(VLOOKUP($B24,$AI$4:$AP$5,8,FALSE),"")</f>
        <v/>
      </c>
      <c r="AJ24" t="str">
        <f>IFERROR(VLOOKUP($B24,$AJ$4:$AP$5,7,FALSE),"")</f>
        <v/>
      </c>
      <c r="AK24" t="str">
        <f>IFERROR(VLOOKUP($B24,$AK$4:$AP$5,6,FALSE),"")</f>
        <v/>
      </c>
      <c r="AL24" t="str">
        <f>IFERROR(VLOOKUP($B24,$AL$4:$AP$5,5,FALSE),"")</f>
        <v/>
      </c>
      <c r="AM24" t="str">
        <f>IFERROR(VLOOKUP($B24,$AM$4:$AP$5,4,FALSE),"")</f>
        <v/>
      </c>
      <c r="AN24" t="str">
        <f>IFERROR(VLOOKUP($B24,$AN$4:$AP$5,3,FALSE),"")</f>
        <v/>
      </c>
      <c r="AO24" t="str">
        <f>IFERROR(VLOOKUP($B24,$AN$4:$AP$5,3,FALSE),"")</f>
        <v/>
      </c>
      <c r="AQ24" s="41">
        <v>13</v>
      </c>
      <c r="AR24" s="118">
        <f>Tabulka13[[#This Row],[Race no.]]</f>
        <v>25</v>
      </c>
      <c r="AS24" s="42" t="str">
        <f>Tabulka13[[#This Row],[Surname and name]]</f>
        <v>Wiro GRILL</v>
      </c>
      <c r="AT24" s="40" t="str">
        <f>Tabulka13[[#This Row],[Team]]</f>
        <v>RLM Wien</v>
      </c>
      <c r="AU24" s="40">
        <f>Tabulka13[[#This Row],[UCI ID]]</f>
        <v>10113786640</v>
      </c>
      <c r="AV24" s="36" t="e">
        <f>#REF!</f>
        <v>#REF!</v>
      </c>
      <c r="AW24" s="36" t="e">
        <f>#REF!</f>
        <v>#REF!</v>
      </c>
      <c r="AX24">
        <f>Tabulka13[[#This Row],[Body_bod]]</f>
        <v>0</v>
      </c>
    </row>
    <row r="25" spans="1:50" ht="15.75">
      <c r="A25" s="14">
        <f>RANK(Tabulka13[[#This Row],[Body_bod]],Tabulka13[Body_bod],0)</f>
        <v>10</v>
      </c>
      <c r="B25" s="44">
        <v>15</v>
      </c>
      <c r="C25" s="15">
        <v>10114281542</v>
      </c>
      <c r="D25" s="16" t="s">
        <v>360</v>
      </c>
      <c r="E25" s="17" t="s">
        <v>359</v>
      </c>
      <c r="F25" s="18" t="s">
        <v>345</v>
      </c>
      <c r="G25" s="49">
        <f>IFERROR(VLOOKUP(Tabulka13[[#This Row],[Race no.]],Vylučovačka!D:E,2,FALSE),"x")</f>
        <v>9</v>
      </c>
      <c r="H25" s="20">
        <f>IFERROR(VLOOKUP(G25,List1!B:C,2,FALSE),0)</f>
        <v>24</v>
      </c>
      <c r="I25" s="22">
        <f>SUM(L25:X25)</f>
        <v>0</v>
      </c>
      <c r="J25" s="50">
        <f>IFERROR(VLOOKUP(Tabulka13[[#This Row],[Race no.]],Bodovacka!D:E,2,FALSE),"x")</f>
        <v>10</v>
      </c>
      <c r="K25" s="22">
        <f>SUM(Y25:AO25)</f>
        <v>1</v>
      </c>
      <c r="L25" s="23" t="str">
        <f>IFERROR(VLOOKUP($B25,$L$2:$X$5,13,FALSE),"")</f>
        <v/>
      </c>
      <c r="M25" s="23" t="str">
        <f>IFERROR(VLOOKUP($B25,$M$2:$X$5,12,FALSE),"")</f>
        <v/>
      </c>
      <c r="N25" s="23" t="str">
        <f>IFERROR(VLOOKUP($B25,$N$2:$X$5,11,FALSE),"")</f>
        <v/>
      </c>
      <c r="O25" s="23" t="str">
        <f>IFERROR(VLOOKUP($B25,$O$2:$X$5,10,FALSE),"")</f>
        <v/>
      </c>
      <c r="P25" s="23" t="str">
        <f>IFERROR(VLOOKUP($B25,$P$2:$X$5,9,FALSE),"")</f>
        <v/>
      </c>
      <c r="Q25" s="23" t="str">
        <f>IFERROR(VLOOKUP($B25,$Q$2:$X$5,8,FALSE),"")</f>
        <v/>
      </c>
      <c r="R25" s="23" t="str">
        <f>IFERROR(VLOOKUP($B25,$R$2:$X$5,7,FALSE),"")</f>
        <v/>
      </c>
      <c r="S25" s="23" t="str">
        <f>IFERROR(VLOOKUP($B25,$S$2:$X$5,7,FALSE),"")</f>
        <v/>
      </c>
      <c r="T25" s="23" t="str">
        <f>IFERROR(VLOOKUP($B25,$R$2:$X$5,7,FALSE),"")</f>
        <v/>
      </c>
      <c r="U25" s="23" t="str">
        <f>IFERROR(VLOOKUP($B25,$R$2:$X$5,7,FALSE),"")</f>
        <v/>
      </c>
      <c r="V25" s="23" t="str">
        <f>IFERROR(VLOOKUP($B25,$R$2:$X$5,7,FALSE),"")</f>
        <v/>
      </c>
      <c r="W25" s="23" t="str">
        <f>IFERROR(VLOOKUP($B25,$W$2:$X$5,2,FALSE)*2,"")</f>
        <v/>
      </c>
      <c r="X25" s="23"/>
      <c r="Y25">
        <v>1</v>
      </c>
      <c r="Z25" t="str">
        <f>IFERROR(VLOOKUP($B25,$Z$4:$AP$5,17,FALSE),"")</f>
        <v/>
      </c>
      <c r="AA25" t="str">
        <f>IFERROR(VLOOKUP($B25,$AA$4:$AP$5,16,FALSE),"")</f>
        <v/>
      </c>
      <c r="AB25" t="str">
        <f>IFERROR(VLOOKUP($B25,$AB$4:$AP$5,15,FALSE),"")</f>
        <v/>
      </c>
      <c r="AC25" t="str">
        <f>IFERROR(VLOOKUP($B25,$AC$4:$AP$5,14,FALSE),"")</f>
        <v/>
      </c>
      <c r="AD25" t="str">
        <f>IFERROR(VLOOKUP($B25,$AD$4:$AP$5,13,FALSE),"")</f>
        <v/>
      </c>
      <c r="AE25" t="str">
        <f>IFERROR(VLOOKUP($B25,$AE$4:$AP$5,12,FALSE),"")</f>
        <v/>
      </c>
      <c r="AF25" t="str">
        <f>IFERROR(VLOOKUP($B25,$AF$4:$AP$5,11,FALSE),"")</f>
        <v/>
      </c>
      <c r="AG25" t="str">
        <f>IFERROR(VLOOKUP($B25,$AG$4:$AP$5,10,FALSE),"")</f>
        <v/>
      </c>
      <c r="AH25" t="str">
        <f>IFERROR(VLOOKUP($B25,$AH$4:$AP$5,9,FALSE),"")</f>
        <v/>
      </c>
      <c r="AI25" t="str">
        <f>IFERROR(VLOOKUP($B25,$AI$4:$AP$5,8,FALSE),"")</f>
        <v/>
      </c>
      <c r="AJ25" t="str">
        <f>IFERROR(VLOOKUP($B25,$AJ$4:$AP$5,7,FALSE),"")</f>
        <v/>
      </c>
      <c r="AK25" t="str">
        <f>IFERROR(VLOOKUP($B25,$AK$4:$AP$5,6,FALSE),"")</f>
        <v/>
      </c>
      <c r="AL25" t="str">
        <f>IFERROR(VLOOKUP($B25,$AL$4:$AP$5,5,FALSE),"")</f>
        <v/>
      </c>
      <c r="AM25" t="str">
        <f>IFERROR(VLOOKUP($B25,$AM$4:$AP$5,4,FALSE),"")</f>
        <v/>
      </c>
      <c r="AN25" t="str">
        <f>IFERROR(VLOOKUP($B25,$AN$4:$AP$5,3,FALSE),"")</f>
        <v/>
      </c>
      <c r="AO25" t="str">
        <f>IFERROR(VLOOKUP($B25,$AN$4:$AP$5,3,FALSE),"")</f>
        <v/>
      </c>
      <c r="AQ25" s="41">
        <v>14</v>
      </c>
      <c r="AR25" s="118">
        <f>Tabulka13[[#This Row],[Race no.]]</f>
        <v>15</v>
      </c>
      <c r="AS25" s="42" t="str">
        <f>Tabulka13[[#This Row],[Surname and name]]</f>
        <v>Matej FIRÁK</v>
      </c>
      <c r="AT25" s="40" t="str">
        <f>Tabulka13[[#This Row],[Team]]</f>
        <v>CyS Akadémia Petera Sagana</v>
      </c>
      <c r="AU25" s="40">
        <f>Tabulka13[[#This Row],[UCI ID]]</f>
        <v>10114281542</v>
      </c>
      <c r="AV25" s="36" t="e">
        <f>#REF!</f>
        <v>#REF!</v>
      </c>
      <c r="AW25" s="36" t="e">
        <f>#REF!</f>
        <v>#REF!</v>
      </c>
      <c r="AX25">
        <f>Tabulka13[[#This Row],[Body_bod]]</f>
        <v>0</v>
      </c>
    </row>
    <row r="26" spans="1:50" ht="15.75">
      <c r="A26" s="14">
        <f>RANK(Tabulka13[[#This Row],[Body_bod]],Tabulka13[Body_bod],0)</f>
        <v>10</v>
      </c>
      <c r="B26" s="44">
        <v>9</v>
      </c>
      <c r="C26" s="15">
        <v>10128197204</v>
      </c>
      <c r="D26" s="16" t="s">
        <v>352</v>
      </c>
      <c r="E26" s="17" t="s">
        <v>351</v>
      </c>
      <c r="F26" s="18" t="s">
        <v>345</v>
      </c>
      <c r="G26" s="49">
        <f>IFERROR(VLOOKUP(Tabulka13[[#This Row],[Race no.]],Vylučovačka!D:E,2,FALSE),"x")</f>
        <v>4</v>
      </c>
      <c r="H26" s="20">
        <f>IFERROR(VLOOKUP(G26,List1!B:C,2,FALSE),0)</f>
        <v>34</v>
      </c>
      <c r="I26" s="22">
        <f>SUM(L26:X26)</f>
        <v>0</v>
      </c>
      <c r="J26" s="50">
        <f>IFERROR(VLOOKUP(Tabulka13[[#This Row],[Race no.]],Bodovacka!D:E,2,FALSE),"x")</f>
        <v>12</v>
      </c>
      <c r="K26" s="22">
        <f>SUM(Y26:AO26)</f>
        <v>3</v>
      </c>
      <c r="L26" s="23" t="str">
        <f>IFERROR(VLOOKUP($B26,$L$2:$X$5,13,FALSE),"")</f>
        <v/>
      </c>
      <c r="M26" s="23" t="str">
        <f>IFERROR(VLOOKUP($B26,$M$2:$X$5,12,FALSE),"")</f>
        <v/>
      </c>
      <c r="N26" s="23" t="str">
        <f>IFERROR(VLOOKUP($B26,$N$2:$X$5,11,FALSE),"")</f>
        <v/>
      </c>
      <c r="O26" s="23" t="str">
        <f>IFERROR(VLOOKUP($B26,$O$2:$X$5,10,FALSE),"")</f>
        <v/>
      </c>
      <c r="P26" s="23" t="str">
        <f>IFERROR(VLOOKUP($B26,$P$2:$X$5,9,FALSE),"")</f>
        <v/>
      </c>
      <c r="Q26" s="23" t="str">
        <f>IFERROR(VLOOKUP($B26,$Q$2:$X$5,8,FALSE),"")</f>
        <v/>
      </c>
      <c r="R26" s="23" t="str">
        <f>IFERROR(VLOOKUP($B26,$R$2:$X$5,7,FALSE),"")</f>
        <v/>
      </c>
      <c r="S26" s="23" t="str">
        <f>IFERROR(VLOOKUP($B26,$S$2:$X$5,7,FALSE),"")</f>
        <v/>
      </c>
      <c r="T26" s="23" t="str">
        <f>IFERROR(VLOOKUP($B26,$R$2:$X$5,7,FALSE),"")</f>
        <v/>
      </c>
      <c r="U26" s="23" t="str">
        <f>IFERROR(VLOOKUP($B26,$R$2:$X$5,7,FALSE),"")</f>
        <v/>
      </c>
      <c r="V26" s="23" t="str">
        <f>IFERROR(VLOOKUP($B26,$R$2:$X$5,7,FALSE),"")</f>
        <v/>
      </c>
      <c r="W26" s="23" t="str">
        <f>IFERROR(VLOOKUP($B26,$W$2:$X$5,2,FALSE)*2,"")</f>
        <v/>
      </c>
      <c r="X26" s="23"/>
      <c r="Y26">
        <v>3</v>
      </c>
      <c r="Z26" s="1" t="str">
        <f>IFERROR(VLOOKUP($B26,$Z$4:$AP$5,17,FALSE),"")</f>
        <v/>
      </c>
      <c r="AA26" s="1" t="str">
        <f>IFERROR(VLOOKUP($B26,$AA$4:$AP$5,16,FALSE),"")</f>
        <v/>
      </c>
      <c r="AB26" s="1" t="str">
        <f>IFERROR(VLOOKUP($B26,$AB$4:$AP$5,15,FALSE),"")</f>
        <v/>
      </c>
      <c r="AC26" s="1" t="str">
        <f>IFERROR(VLOOKUP($B26,$AC$4:$AP$5,14,FALSE),"")</f>
        <v/>
      </c>
      <c r="AD26" s="1" t="str">
        <f>IFERROR(VLOOKUP($B26,$AD$4:$AP$5,13,FALSE),"")</f>
        <v/>
      </c>
      <c r="AE26" s="1" t="str">
        <f>IFERROR(VLOOKUP($B26,$AE$4:$AP$5,12,FALSE),"")</f>
        <v/>
      </c>
      <c r="AF26" s="1" t="str">
        <f>IFERROR(VLOOKUP($B26,$AF$4:$AP$5,11,FALSE),"")</f>
        <v/>
      </c>
      <c r="AG26" s="1" t="str">
        <f>IFERROR(VLOOKUP($B26,$AG$4:$AP$5,10,FALSE),"")</f>
        <v/>
      </c>
      <c r="AH26" s="1" t="str">
        <f>IFERROR(VLOOKUP($B26,$AH$4:$AP$5,9,FALSE),"")</f>
        <v/>
      </c>
      <c r="AI26" s="1" t="str">
        <f>IFERROR(VLOOKUP($B26,$AI$4:$AP$5,8,FALSE),"")</f>
        <v/>
      </c>
      <c r="AJ26" s="1" t="str">
        <f>IFERROR(VLOOKUP($B26,$AJ$4:$AP$5,7,FALSE),"")</f>
        <v/>
      </c>
      <c r="AK26" s="1" t="str">
        <f>IFERROR(VLOOKUP($B26,$AK$4:$AP$5,6,FALSE),"")</f>
        <v/>
      </c>
      <c r="AL26" s="115" t="str">
        <f>IFERROR(VLOOKUP($B26,$AL$4:$AP$5,5,FALSE),"")</f>
        <v/>
      </c>
      <c r="AM26" s="1" t="str">
        <f>IFERROR(VLOOKUP($B26,$AM$4:$AP$5,4,FALSE),"")</f>
        <v/>
      </c>
      <c r="AN26" s="1" t="str">
        <f>IFERROR(VLOOKUP($B26,$AN$4:$AP$5,3,FALSE),"")</f>
        <v/>
      </c>
      <c r="AO26" s="1" t="str">
        <f>IFERROR(VLOOKUP($B26,$AN$4:$AP$5,3,FALSE),"")</f>
        <v/>
      </c>
      <c r="AQ26" s="41">
        <v>15</v>
      </c>
      <c r="AR26" s="118">
        <f>Tabulka13[[#This Row],[Race no.]]</f>
        <v>9</v>
      </c>
      <c r="AS26" s="42" t="str">
        <f>Tabulka13[[#This Row],[Surname and name]]</f>
        <v>Tobiáš KELBL</v>
      </c>
      <c r="AT26" s="40" t="str">
        <f>Tabulka13[[#This Row],[Team]]</f>
        <v>TJ FAVORIT BRNO</v>
      </c>
      <c r="AU26" s="40">
        <f>Tabulka13[[#This Row],[UCI ID]]</f>
        <v>10128197204</v>
      </c>
      <c r="AV26" s="36" t="e">
        <f>#REF!</f>
        <v>#REF!</v>
      </c>
      <c r="AW26" s="36" t="e">
        <f>#REF!</f>
        <v>#REF!</v>
      </c>
      <c r="AX26">
        <f>Tabulka13[[#This Row],[Body_bod]]</f>
        <v>0</v>
      </c>
    </row>
    <row r="27" spans="1:50" ht="15.75">
      <c r="A27" s="14">
        <f>RANK(Tabulka13[[#This Row],[Body_bod]],Tabulka13[Body_bod],0)</f>
        <v>10</v>
      </c>
      <c r="B27" s="44">
        <v>13</v>
      </c>
      <c r="C27" s="15">
        <v>10117285209</v>
      </c>
      <c r="D27" s="16" t="s">
        <v>357</v>
      </c>
      <c r="E27" s="17" t="s">
        <v>355</v>
      </c>
      <c r="F27" s="18" t="s">
        <v>342</v>
      </c>
      <c r="G27" s="49">
        <f>IFERROR(VLOOKUP(Tabulka13[[#This Row],[Race no.]],Vylučovačka!D:E,2,FALSE),"x")</f>
        <v>16</v>
      </c>
      <c r="H27" s="20">
        <f>IFERROR(VLOOKUP(G27,List1!B:C,2,FALSE),0)</f>
        <v>10</v>
      </c>
      <c r="I27" s="22">
        <f>SUM(L27:X27)</f>
        <v>0</v>
      </c>
      <c r="J27" s="50">
        <f>IFERROR(VLOOKUP(Tabulka13[[#This Row],[Race no.]],Bodovacka!D:E,2,FALSE),"x")</f>
        <v>14</v>
      </c>
      <c r="K27" s="22">
        <f>SUM(Y27:AO27)</f>
        <v>0</v>
      </c>
      <c r="L27" s="23" t="str">
        <f>IFERROR(VLOOKUP($B27,$L$2:$X$5,13,FALSE),"")</f>
        <v/>
      </c>
      <c r="M27" s="23" t="str">
        <f>IFERROR(VLOOKUP($B27,$M$2:$X$5,12,FALSE),"")</f>
        <v/>
      </c>
      <c r="N27" s="23" t="str">
        <f>IFERROR(VLOOKUP($B27,$N$2:$X$5,11,FALSE),"")</f>
        <v/>
      </c>
      <c r="O27" s="23" t="str">
        <f>IFERROR(VLOOKUP($B27,$O$2:$X$5,10,FALSE),"")</f>
        <v/>
      </c>
      <c r="P27" s="23" t="str">
        <f>IFERROR(VLOOKUP($B27,$P$2:$X$5,9,FALSE),"")</f>
        <v/>
      </c>
      <c r="Q27" s="23" t="str">
        <f>IFERROR(VLOOKUP($B27,$Q$2:$X$5,8,FALSE),"")</f>
        <v/>
      </c>
      <c r="R27" s="23" t="str">
        <f>IFERROR(VLOOKUP($B27,$R$2:$X$5,7,FALSE),"")</f>
        <v/>
      </c>
      <c r="S27" s="23" t="str">
        <f>IFERROR(VLOOKUP($B27,$S$2:$X$5,7,FALSE),"")</f>
        <v/>
      </c>
      <c r="T27" s="23" t="str">
        <f>IFERROR(VLOOKUP($B27,$R$2:$X$5,7,FALSE),"")</f>
        <v/>
      </c>
      <c r="U27" s="23" t="str">
        <f>IFERROR(VLOOKUP($B27,$R$2:$X$5,7,FALSE),"")</f>
        <v/>
      </c>
      <c r="V27" s="23" t="str">
        <f>IFERROR(VLOOKUP($B27,$R$2:$X$5,7,FALSE),"")</f>
        <v/>
      </c>
      <c r="W27" s="23" t="str">
        <f>IFERROR(VLOOKUP($B27,$W$2:$X$5,2,FALSE)*2,"")</f>
        <v/>
      </c>
      <c r="X27" s="23"/>
      <c r="Y27" t="str">
        <f>IFERROR(VLOOKUP($B27,$Y$4:$AP$5,18,FALSE),"")</f>
        <v/>
      </c>
      <c r="Z27" t="str">
        <f>IFERROR(VLOOKUP($B27,$Z$4:$AP$5,17,FALSE),"")</f>
        <v/>
      </c>
      <c r="AA27" t="str">
        <f>IFERROR(VLOOKUP($B27,$AA$4:$AP$5,16,FALSE),"")</f>
        <v/>
      </c>
      <c r="AB27" t="str">
        <f>IFERROR(VLOOKUP($B27,$AB$4:$AP$5,15,FALSE),"")</f>
        <v/>
      </c>
      <c r="AC27" t="str">
        <f>IFERROR(VLOOKUP($B27,$AC$4:$AP$5,14,FALSE),"")</f>
        <v/>
      </c>
      <c r="AD27" t="str">
        <f>IFERROR(VLOOKUP($B27,$AD$4:$AP$5,13,FALSE),"")</f>
        <v/>
      </c>
      <c r="AE27" t="str">
        <f>IFERROR(VLOOKUP($B27,$AE$4:$AP$5,12,FALSE),"")</f>
        <v/>
      </c>
      <c r="AF27" t="str">
        <f>IFERROR(VLOOKUP($B27,$AF$4:$AP$5,11,FALSE),"")</f>
        <v/>
      </c>
      <c r="AG27" t="str">
        <f>IFERROR(VLOOKUP($B27,$AG$4:$AP$5,10,FALSE),"")</f>
        <v/>
      </c>
      <c r="AH27" t="str">
        <f>IFERROR(VLOOKUP($B27,$AH$4:$AP$5,9,FALSE),"")</f>
        <v/>
      </c>
      <c r="AI27" t="str">
        <f>IFERROR(VLOOKUP($B27,$AI$4:$AP$5,8,FALSE),"")</f>
        <v/>
      </c>
      <c r="AJ27" t="str">
        <f>IFERROR(VLOOKUP($B27,$AJ$4:$AP$5,7,FALSE),"")</f>
        <v/>
      </c>
      <c r="AK27" t="str">
        <f>IFERROR(VLOOKUP($B27,$AK$4:$AP$5,6,FALSE),"")</f>
        <v/>
      </c>
      <c r="AL27" t="str">
        <f>IFERROR(VLOOKUP($B27,$AL$4:$AP$5,5,FALSE),"")</f>
        <v/>
      </c>
      <c r="AM27" t="str">
        <f>IFERROR(VLOOKUP($B27,$AM$4:$AP$5,4,FALSE),"")</f>
        <v/>
      </c>
      <c r="AN27" t="str">
        <f>IFERROR(VLOOKUP($B27,$AN$4:$AP$5,3,FALSE),"")</f>
        <v/>
      </c>
      <c r="AO27" t="str">
        <f>IFERROR(VLOOKUP($B27,$AN$4:$AP$5,3,FALSE),"")</f>
        <v/>
      </c>
      <c r="AQ27" s="41">
        <v>16</v>
      </c>
      <c r="AR27" s="118">
        <f>Tabulka13[[#This Row],[Race no.]]</f>
        <v>13</v>
      </c>
      <c r="AS27" s="42" t="str">
        <f>Tabulka13[[#This Row],[Surname and name]]</f>
        <v>Matúš BEHAN</v>
      </c>
      <c r="AT27" s="40" t="str">
        <f>Tabulka13[[#This Row],[Team]]</f>
        <v>CK Epic Dohňany</v>
      </c>
      <c r="AU27" s="40">
        <f>Tabulka13[[#This Row],[UCI ID]]</f>
        <v>10117285209</v>
      </c>
      <c r="AV27" s="36" t="e">
        <f>#REF!</f>
        <v>#REF!</v>
      </c>
      <c r="AW27" s="36" t="e">
        <f>#REF!</f>
        <v>#REF!</v>
      </c>
      <c r="AX27">
        <f>Tabulka13[[#This Row],[Body_bod]]</f>
        <v>0</v>
      </c>
    </row>
    <row r="28" spans="1:50" ht="15.75">
      <c r="A28" s="14">
        <f>RANK(Tabulka13[[#This Row],[Body_bod]],Tabulka13[Body_bod],0)</f>
        <v>10</v>
      </c>
      <c r="B28" s="44">
        <v>30</v>
      </c>
      <c r="C28" s="15">
        <v>10118951585</v>
      </c>
      <c r="D28" s="16" t="s">
        <v>383</v>
      </c>
      <c r="E28" s="17" t="s">
        <v>384</v>
      </c>
      <c r="F28" s="18"/>
      <c r="G28" s="49">
        <f>IFERROR(VLOOKUP(Tabulka13[[#This Row],[Race no.]],Vylučovačka!D:E,2,FALSE),"x")</f>
        <v>23</v>
      </c>
      <c r="H28" s="20">
        <f>IFERROR(VLOOKUP(G28,List1!B:C,2,FALSE),0)</f>
        <v>1</v>
      </c>
      <c r="I28" s="22">
        <f>SUM(L28:X28)</f>
        <v>0</v>
      </c>
      <c r="J28" s="50">
        <f>IFERROR(VLOOKUP(Tabulka13[[#This Row],[Race no.]],Bodovacka!D:E,2,FALSE),"x")</f>
        <v>15</v>
      </c>
      <c r="K28" s="22">
        <f>SUM(Y28:AO28)</f>
        <v>0</v>
      </c>
      <c r="L28" s="23" t="str">
        <f>IFERROR(VLOOKUP($B28,$L$2:$X$5,13,FALSE),"")</f>
        <v/>
      </c>
      <c r="M28" s="23" t="str">
        <f>IFERROR(VLOOKUP($B28,$M$2:$X$5,12,FALSE),"")</f>
        <v/>
      </c>
      <c r="N28" s="23" t="str">
        <f>IFERROR(VLOOKUP($B28,$N$2:$X$5,11,FALSE),"")</f>
        <v/>
      </c>
      <c r="O28" s="23" t="str">
        <f>IFERROR(VLOOKUP($B28,$O$2:$X$5,10,FALSE),"")</f>
        <v/>
      </c>
      <c r="P28" s="23" t="str">
        <f>IFERROR(VLOOKUP($B28,$P$2:$X$5,9,FALSE),"")</f>
        <v/>
      </c>
      <c r="Q28" s="23" t="str">
        <f>IFERROR(VLOOKUP($B28,$Q$2:$X$5,8,FALSE),"")</f>
        <v/>
      </c>
      <c r="R28" s="23" t="str">
        <f>IFERROR(VLOOKUP($B28,$R$2:$X$5,7,FALSE),"")</f>
        <v/>
      </c>
      <c r="S28" s="23" t="str">
        <f>IFERROR(VLOOKUP($B28,$S$2:$X$5,7,FALSE),"")</f>
        <v/>
      </c>
      <c r="T28" s="23" t="str">
        <f>IFERROR(VLOOKUP($B28,$R$2:$X$5,7,FALSE),"")</f>
        <v/>
      </c>
      <c r="U28" s="23" t="str">
        <f>IFERROR(VLOOKUP($B28,$R$2:$X$5,7,FALSE),"")</f>
        <v/>
      </c>
      <c r="V28" s="23" t="str">
        <f>IFERROR(VLOOKUP($B28,$R$2:$X$5,7,FALSE),"")</f>
        <v/>
      </c>
      <c r="W28" s="23" t="str">
        <f>IFERROR(VLOOKUP($B28,$W$2:$X$5,2,FALSE)*2,"")</f>
        <v/>
      </c>
      <c r="X28" s="23"/>
      <c r="Y28" t="str">
        <f>IFERROR(VLOOKUP($B28,$Y$4:$AP$5,18,FALSE),"")</f>
        <v/>
      </c>
      <c r="Z28" t="str">
        <f>IFERROR(VLOOKUP($B28,$Z$4:$AP$5,17,FALSE),"")</f>
        <v/>
      </c>
      <c r="AA28" t="str">
        <f>IFERROR(VLOOKUP($B28,$AA$4:$AP$5,16,FALSE),"")</f>
        <v/>
      </c>
      <c r="AB28" t="str">
        <f>IFERROR(VLOOKUP($B28,$AB$4:$AP$5,15,FALSE),"")</f>
        <v/>
      </c>
      <c r="AC28" t="str">
        <f>IFERROR(VLOOKUP($B28,$AC$4:$AP$5,14,FALSE),"")</f>
        <v/>
      </c>
      <c r="AD28" t="str">
        <f>IFERROR(VLOOKUP($B28,$AD$4:$AP$5,13,FALSE),"")</f>
        <v/>
      </c>
      <c r="AE28" t="str">
        <f>IFERROR(VLOOKUP($B28,$AE$4:$AP$5,12,FALSE),"")</f>
        <v/>
      </c>
      <c r="AF28" t="str">
        <f>IFERROR(VLOOKUP($B28,$AF$4:$AP$5,11,FALSE),"")</f>
        <v/>
      </c>
      <c r="AG28" t="str">
        <f>IFERROR(VLOOKUP($B28,$AG$4:$AP$5,10,FALSE),"")</f>
        <v/>
      </c>
      <c r="AH28" t="str">
        <f>IFERROR(VLOOKUP($B28,$AH$4:$AP$5,9,FALSE),"")</f>
        <v/>
      </c>
      <c r="AI28" t="str">
        <f>IFERROR(VLOOKUP($B28,$AI$4:$AP$5,8,FALSE),"")</f>
        <v/>
      </c>
      <c r="AJ28" t="str">
        <f>IFERROR(VLOOKUP($B28,$AJ$4:$AP$5,7,FALSE),"")</f>
        <v/>
      </c>
      <c r="AK28" t="str">
        <f>IFERROR(VLOOKUP($B28,$AK$4:$AP$5,6,FALSE),"")</f>
        <v/>
      </c>
      <c r="AL28" t="str">
        <f>IFERROR(VLOOKUP($B28,$AL$4:$AP$5,5,FALSE),"")</f>
        <v/>
      </c>
      <c r="AM28" t="str">
        <f>IFERROR(VLOOKUP($B28,$AM$4:$AP$5,4,FALSE),"")</f>
        <v/>
      </c>
      <c r="AN28" t="str">
        <f>IFERROR(VLOOKUP($B28,$AN$4:$AP$5,3,FALSE),"")</f>
        <v/>
      </c>
      <c r="AO28" t="str">
        <f>IFERROR(VLOOKUP($B28,$AN$4:$AP$5,3,FALSE),"")</f>
        <v/>
      </c>
      <c r="AQ28" s="41">
        <v>17</v>
      </c>
      <c r="AR28" s="118">
        <f>Tabulka13[[#This Row],[Race no.]]</f>
        <v>30</v>
      </c>
      <c r="AS28" s="42" t="str">
        <f>Tabulka13[[#This Row],[Surname and name]]</f>
        <v>Semih SCHRENK</v>
      </c>
      <c r="AT28" s="40" t="str">
        <f>Tabulka13[[#This Row],[Team]]</f>
        <v>Wien</v>
      </c>
      <c r="AU28" s="40">
        <f>Tabulka13[[#This Row],[UCI ID]]</f>
        <v>10118951585</v>
      </c>
      <c r="AV28" s="36" t="e">
        <f>#REF!</f>
        <v>#REF!</v>
      </c>
      <c r="AW28" s="36" t="e">
        <f>#REF!</f>
        <v>#REF!</v>
      </c>
      <c r="AX28">
        <f>Tabulka13[[#This Row],[Body_bod]]</f>
        <v>0</v>
      </c>
    </row>
    <row r="29" spans="1:50" ht="15.75">
      <c r="A29" s="14">
        <f>RANK(Tabulka13[[#This Row],[Body_bod]],Tabulka13[Body_bod],0)</f>
        <v>10</v>
      </c>
      <c r="B29" s="44">
        <v>29</v>
      </c>
      <c r="C29" s="15">
        <v>10112046300</v>
      </c>
      <c r="D29" s="16" t="s">
        <v>377</v>
      </c>
      <c r="E29" s="17" t="s">
        <v>369</v>
      </c>
      <c r="F29" s="18" t="s">
        <v>345</v>
      </c>
      <c r="G29" s="49">
        <f>IFERROR(VLOOKUP(Tabulka13[[#This Row],[Race no.]],Vylučovačka!D:E,2,FALSE),"x")</f>
        <v>20</v>
      </c>
      <c r="H29" s="20">
        <f>IFERROR(VLOOKUP(G29,List1!B:C,2,FALSE),0)</f>
        <v>2</v>
      </c>
      <c r="I29" s="22">
        <f>SUM(L29:X29)</f>
        <v>0</v>
      </c>
      <c r="J29" s="50">
        <f>IFERROR(VLOOKUP(Tabulka13[[#This Row],[Race no.]],Bodovacka!D:E,2,FALSE),"x")</f>
        <v>16</v>
      </c>
      <c r="K29" s="22">
        <f>SUM(Y29:AO29)</f>
        <v>0</v>
      </c>
      <c r="L29" s="23" t="str">
        <f>IFERROR(VLOOKUP($B29,$L$2:$X$5,13,FALSE),"")</f>
        <v/>
      </c>
      <c r="M29" s="23" t="str">
        <f>IFERROR(VLOOKUP($B29,$M$2:$X$5,12,FALSE),"")</f>
        <v/>
      </c>
      <c r="N29" s="23" t="str">
        <f>IFERROR(VLOOKUP($B29,$N$2:$X$5,11,FALSE),"")</f>
        <v/>
      </c>
      <c r="O29" s="23" t="str">
        <f>IFERROR(VLOOKUP($B29,$O$2:$X$5,10,FALSE),"")</f>
        <v/>
      </c>
      <c r="P29" s="23" t="str">
        <f>IFERROR(VLOOKUP($B29,$P$2:$X$5,9,FALSE),"")</f>
        <v/>
      </c>
      <c r="Q29" s="23" t="str">
        <f>IFERROR(VLOOKUP($B29,$Q$2:$X$5,8,FALSE),"")</f>
        <v/>
      </c>
      <c r="R29" s="23" t="str">
        <f>IFERROR(VLOOKUP($B29,$R$2:$X$5,7,FALSE),"")</f>
        <v/>
      </c>
      <c r="S29" s="23" t="str">
        <f>IFERROR(VLOOKUP($B29,$S$2:$X$5,7,FALSE),"")</f>
        <v/>
      </c>
      <c r="T29" s="23" t="str">
        <f>IFERROR(VLOOKUP($B29,$R$2:$X$5,7,FALSE),"")</f>
        <v/>
      </c>
      <c r="U29" s="23" t="str">
        <f>IFERROR(VLOOKUP($B29,$R$2:$X$5,7,FALSE),"")</f>
        <v/>
      </c>
      <c r="V29" s="23" t="str">
        <f>IFERROR(VLOOKUP($B29,$R$2:$X$5,7,FALSE),"")</f>
        <v/>
      </c>
      <c r="W29" s="23" t="str">
        <f>IFERROR(VLOOKUP($B29,$W$2:$X$5,2,FALSE)*2,"")</f>
        <v/>
      </c>
      <c r="X29" s="23"/>
      <c r="Y29" t="str">
        <f>IFERROR(VLOOKUP($B29,$Y$4:$AP$5,18,FALSE),"")</f>
        <v/>
      </c>
      <c r="Z29" t="str">
        <f>IFERROR(VLOOKUP($B29,$Z$4:$AP$5,17,FALSE),"")</f>
        <v/>
      </c>
      <c r="AA29" t="str">
        <f>IFERROR(VLOOKUP($B29,$AA$4:$AP$5,16,FALSE),"")</f>
        <v/>
      </c>
      <c r="AB29" t="str">
        <f>IFERROR(VLOOKUP($B29,$AB$4:$AP$5,15,FALSE),"")</f>
        <v/>
      </c>
      <c r="AC29" t="str">
        <f>IFERROR(VLOOKUP($B29,$AC$4:$AP$5,14,FALSE),"")</f>
        <v/>
      </c>
      <c r="AD29" t="str">
        <f>IFERROR(VLOOKUP($B29,$AD$4:$AP$5,13,FALSE),"")</f>
        <v/>
      </c>
      <c r="AE29" t="str">
        <f>IFERROR(VLOOKUP($B29,$AE$4:$AP$5,12,FALSE),"")</f>
        <v/>
      </c>
      <c r="AF29" t="str">
        <f>IFERROR(VLOOKUP($B29,$AF$4:$AP$5,11,FALSE),"")</f>
        <v/>
      </c>
      <c r="AG29" t="str">
        <f>IFERROR(VLOOKUP($B29,$AG$4:$AP$5,10,FALSE),"")</f>
        <v/>
      </c>
      <c r="AH29" t="str">
        <f>IFERROR(VLOOKUP($B29,$AH$4:$AP$5,9,FALSE),"")</f>
        <v/>
      </c>
      <c r="AI29" t="str">
        <f>IFERROR(VLOOKUP($B29,$AI$4:$AP$5,8,FALSE),"")</f>
        <v/>
      </c>
      <c r="AJ29" t="str">
        <f>IFERROR(VLOOKUP($B29,$AJ$4:$AP$5,7,FALSE),"")</f>
        <v/>
      </c>
      <c r="AK29" t="str">
        <f>IFERROR(VLOOKUP($B29,$AK$4:$AP$5,6,FALSE),"")</f>
        <v/>
      </c>
      <c r="AL29" t="str">
        <f>IFERROR(VLOOKUP($B29,$AL$4:$AP$5,5,FALSE),"")</f>
        <v/>
      </c>
      <c r="AM29" t="str">
        <f>IFERROR(VLOOKUP($B29,$AM$4:$AP$5,4,FALSE),"")</f>
        <v/>
      </c>
      <c r="AN29" t="str">
        <f>IFERROR(VLOOKUP($B29,$AN$4:$AP$5,3,FALSE),"")</f>
        <v/>
      </c>
      <c r="AO29" t="str">
        <f>IFERROR(VLOOKUP($B29,$AN$4:$AP$5,3,FALSE),"")</f>
        <v/>
      </c>
      <c r="AQ29" s="41">
        <v>18</v>
      </c>
      <c r="AR29" s="118">
        <f>Tabulka13[[#This Row],[Race no.]]</f>
        <v>29</v>
      </c>
      <c r="AS29" s="42" t="str">
        <f>Tabulka13[[#This Row],[Surname and name]]</f>
        <v>Matyáš KREJČIŘÍK</v>
      </c>
      <c r="AT29" s="40" t="str">
        <f>Tabulka13[[#This Row],[Team]]</f>
        <v>Dakom Pharma Kyjov</v>
      </c>
      <c r="AU29" s="40">
        <f>Tabulka13[[#This Row],[UCI ID]]</f>
        <v>10112046300</v>
      </c>
      <c r="AV29" s="36" t="e">
        <f>#REF!</f>
        <v>#REF!</v>
      </c>
      <c r="AW29" s="36" t="e">
        <f>#REF!</f>
        <v>#REF!</v>
      </c>
      <c r="AX29">
        <f>Tabulka13[[#This Row],[Body_bod]]</f>
        <v>0</v>
      </c>
    </row>
    <row r="30" spans="1:50" ht="15.75">
      <c r="A30" s="14">
        <f>RANK(Tabulka13[[#This Row],[Body_bod]],Tabulka13[Body_bod],0)</f>
        <v>10</v>
      </c>
      <c r="B30" s="44">
        <v>10</v>
      </c>
      <c r="C30" s="15">
        <v>10104974188</v>
      </c>
      <c r="D30" s="16" t="s">
        <v>353</v>
      </c>
      <c r="E30" s="17" t="s">
        <v>351</v>
      </c>
      <c r="F30" s="18" t="s">
        <v>345</v>
      </c>
      <c r="G30" s="49">
        <f>IFERROR(VLOOKUP(Tabulka13[[#This Row],[Race no.]],Vylučovačka!D:E,2,FALSE),"x")</f>
        <v>17</v>
      </c>
      <c r="H30" s="20">
        <f>IFERROR(VLOOKUP(G30,List1!B:C,2,FALSE),0)</f>
        <v>8</v>
      </c>
      <c r="I30" s="22">
        <f>SUM(L30:X30)</f>
        <v>0</v>
      </c>
      <c r="J30" s="50">
        <f>IFERROR(VLOOKUP(Tabulka13[[#This Row],[Race no.]],Bodovacka!D:E,2,FALSE),"x")</f>
        <v>17</v>
      </c>
      <c r="K30" s="22">
        <f>SUM(Y30:AO30)</f>
        <v>0</v>
      </c>
      <c r="L30" s="23" t="str">
        <f>IFERROR(VLOOKUP($B30,$L$2:$X$5,13,FALSE),"")</f>
        <v/>
      </c>
      <c r="M30" s="23" t="str">
        <f>IFERROR(VLOOKUP($B30,$M$2:$X$5,12,FALSE),"")</f>
        <v/>
      </c>
      <c r="N30" s="23" t="str">
        <f>IFERROR(VLOOKUP($B30,$N$2:$X$5,11,FALSE),"")</f>
        <v/>
      </c>
      <c r="O30" s="23" t="str">
        <f>IFERROR(VLOOKUP($B30,$O$2:$X$5,10,FALSE),"")</f>
        <v/>
      </c>
      <c r="P30" s="23" t="str">
        <f>IFERROR(VLOOKUP($B30,$P$2:$X$5,9,FALSE),"")</f>
        <v/>
      </c>
      <c r="Q30" s="23" t="str">
        <f>IFERROR(VLOOKUP($B30,$Q$2:$X$5,8,FALSE),"")</f>
        <v/>
      </c>
      <c r="R30" s="23" t="str">
        <f>IFERROR(VLOOKUP($B30,$R$2:$X$5,7,FALSE),"")</f>
        <v/>
      </c>
      <c r="S30" s="23" t="str">
        <f>IFERROR(VLOOKUP($B30,$S$2:$X$5,7,FALSE),"")</f>
        <v/>
      </c>
      <c r="T30" s="23" t="str">
        <f>IFERROR(VLOOKUP($B30,$R$2:$X$5,7,FALSE),"")</f>
        <v/>
      </c>
      <c r="U30" s="23" t="str">
        <f>IFERROR(VLOOKUP($B30,$R$2:$X$5,7,FALSE),"")</f>
        <v/>
      </c>
      <c r="V30" s="23" t="str">
        <f>IFERROR(VLOOKUP($B30,$R$2:$X$5,7,FALSE),"")</f>
        <v/>
      </c>
      <c r="W30" s="23" t="str">
        <f>IFERROR(VLOOKUP($B30,$W$2:$X$5,2,FALSE)*2,"")</f>
        <v/>
      </c>
      <c r="X30" s="23"/>
      <c r="Y30" t="str">
        <f>IFERROR(VLOOKUP($B30,$Y$4:$AP$5,18,FALSE),"")</f>
        <v/>
      </c>
      <c r="Z30" t="str">
        <f>IFERROR(VLOOKUP($B30,$Z$4:$AP$5,17,FALSE),"")</f>
        <v/>
      </c>
      <c r="AA30" t="str">
        <f>IFERROR(VLOOKUP($B30,$AA$4:$AP$5,16,FALSE),"")</f>
        <v/>
      </c>
      <c r="AB30" t="str">
        <f>IFERROR(VLOOKUP($B30,$AB$4:$AP$5,15,FALSE),"")</f>
        <v/>
      </c>
      <c r="AC30" t="str">
        <f>IFERROR(VLOOKUP($B30,$AC$4:$AP$5,14,FALSE),"")</f>
        <v/>
      </c>
      <c r="AD30" t="str">
        <f>IFERROR(VLOOKUP($B30,$AD$4:$AP$5,13,FALSE),"")</f>
        <v/>
      </c>
      <c r="AE30" t="str">
        <f>IFERROR(VLOOKUP($B30,$AE$4:$AP$5,12,FALSE),"")</f>
        <v/>
      </c>
      <c r="AF30" t="str">
        <f>IFERROR(VLOOKUP($B30,$AF$4:$AP$5,11,FALSE),"")</f>
        <v/>
      </c>
      <c r="AG30" t="str">
        <f>IFERROR(VLOOKUP($B30,$AG$4:$AP$5,10,FALSE),"")</f>
        <v/>
      </c>
      <c r="AH30" t="str">
        <f>IFERROR(VLOOKUP($B30,$AH$4:$AP$5,9,FALSE),"")</f>
        <v/>
      </c>
      <c r="AI30" t="str">
        <f>IFERROR(VLOOKUP($B30,$AI$4:$AP$5,8,FALSE),"")</f>
        <v/>
      </c>
      <c r="AJ30" t="str">
        <f>IFERROR(VLOOKUP($B30,$AJ$4:$AP$5,7,FALSE),"")</f>
        <v/>
      </c>
      <c r="AK30" t="str">
        <f>IFERROR(VLOOKUP($B30,$AK$4:$AP$5,6,FALSE),"")</f>
        <v/>
      </c>
      <c r="AL30" t="str">
        <f>IFERROR(VLOOKUP($B30,$AL$4:$AP$5,5,FALSE),"")</f>
        <v/>
      </c>
      <c r="AM30" t="str">
        <f>IFERROR(VLOOKUP($B30,$AM$4:$AP$5,4,FALSE),"")</f>
        <v/>
      </c>
      <c r="AN30" t="str">
        <f>IFERROR(VLOOKUP($B30,$AN$4:$AP$5,3,FALSE),"")</f>
        <v/>
      </c>
      <c r="AO30" t="str">
        <f>IFERROR(VLOOKUP($B30,$AN$4:$AP$5,3,FALSE),"")</f>
        <v/>
      </c>
      <c r="AQ30" s="41">
        <v>19</v>
      </c>
      <c r="AR30" s="118">
        <f>Tabulka13[[#This Row],[Race no.]]</f>
        <v>10</v>
      </c>
      <c r="AS30" s="42" t="str">
        <f>Tabulka13[[#This Row],[Surname and name]]</f>
        <v>Daniel RUMPLÍK</v>
      </c>
      <c r="AT30" s="40" t="str">
        <f>Tabulka13[[#This Row],[Team]]</f>
        <v>TJ FAVORIT BRNO</v>
      </c>
      <c r="AU30" s="40">
        <f>Tabulka13[[#This Row],[UCI ID]]</f>
        <v>10104974188</v>
      </c>
      <c r="AV30" s="36" t="e">
        <f>#REF!</f>
        <v>#REF!</v>
      </c>
      <c r="AW30" s="36" t="e">
        <f>#REF!</f>
        <v>#REF!</v>
      </c>
      <c r="AX30">
        <f>Tabulka13[[#This Row],[Body_bod]]</f>
        <v>0</v>
      </c>
    </row>
    <row r="31" spans="1:50" ht="15.75">
      <c r="A31" s="14">
        <f>RANK(Tabulka13[[#This Row],[Body_bod]],Tabulka13[Body_bod],0)</f>
        <v>10</v>
      </c>
      <c r="B31" s="44">
        <v>22</v>
      </c>
      <c r="C31" s="15">
        <v>10112045993</v>
      </c>
      <c r="D31" s="16" t="s">
        <v>368</v>
      </c>
      <c r="E31" s="17" t="s">
        <v>385</v>
      </c>
      <c r="F31" s="18" t="s">
        <v>342</v>
      </c>
      <c r="G31" s="49">
        <f>IFERROR(VLOOKUP(Tabulka13[[#This Row],[Race no.]],Vylučovačka!D:E,2,FALSE),"x")</f>
        <v>22</v>
      </c>
      <c r="H31" s="20">
        <f>IFERROR(VLOOKUP(G31,List1!B:C,2,FALSE),0)</f>
        <v>1</v>
      </c>
      <c r="I31" s="22">
        <f>SUM(L31:X31)</f>
        <v>0</v>
      </c>
      <c r="J31" s="50">
        <f>IFERROR(VLOOKUP(Tabulka13[[#This Row],[Race no.]],Bodovacka!D:E,2,FALSE),"x")</f>
        <v>18</v>
      </c>
      <c r="K31" s="22">
        <f>SUM(Y31:AO31)</f>
        <v>0</v>
      </c>
      <c r="L31" s="23" t="str">
        <f>IFERROR(VLOOKUP($B31,$L$2:$X$5,13,FALSE),"")</f>
        <v/>
      </c>
      <c r="M31" s="23" t="str">
        <f>IFERROR(VLOOKUP($B31,$M$2:$X$5,12,FALSE),"")</f>
        <v/>
      </c>
      <c r="N31" s="23" t="str">
        <f>IFERROR(VLOOKUP($B31,$N$2:$X$5,11,FALSE),"")</f>
        <v/>
      </c>
      <c r="O31" s="23" t="str">
        <f>IFERROR(VLOOKUP($B31,$O$2:$X$5,10,FALSE),"")</f>
        <v/>
      </c>
      <c r="P31" s="23" t="str">
        <f>IFERROR(VLOOKUP($B31,$P$2:$X$5,9,FALSE),"")</f>
        <v/>
      </c>
      <c r="Q31" s="23" t="str">
        <f>IFERROR(VLOOKUP($B31,$Q$2:$X$5,8,FALSE),"")</f>
        <v/>
      </c>
      <c r="R31" s="23" t="str">
        <f>IFERROR(VLOOKUP($B31,$R$2:$X$5,7,FALSE),"")</f>
        <v/>
      </c>
      <c r="S31" s="23" t="str">
        <f>IFERROR(VLOOKUP($B31,$S$2:$X$5,7,FALSE),"")</f>
        <v/>
      </c>
      <c r="T31" s="23" t="str">
        <f>IFERROR(VLOOKUP($B31,$R$2:$X$5,7,FALSE),"")</f>
        <v/>
      </c>
      <c r="U31" s="23" t="str">
        <f>IFERROR(VLOOKUP($B31,$R$2:$X$5,7,FALSE),"")</f>
        <v/>
      </c>
      <c r="V31" s="23" t="str">
        <f>IFERROR(VLOOKUP($B31,$R$2:$X$5,7,FALSE),"")</f>
        <v/>
      </c>
      <c r="W31" s="23" t="str">
        <f>IFERROR(VLOOKUP($B31,$W$2:$X$5,2,FALSE)*2,"")</f>
        <v/>
      </c>
      <c r="X31" s="23"/>
      <c r="Y31" t="str">
        <f>IFERROR(VLOOKUP($B31,$Y$4:$AP$5,18,FALSE),"")</f>
        <v/>
      </c>
      <c r="Z31" t="str">
        <f>IFERROR(VLOOKUP($B31,$Z$4:$AP$5,17,FALSE),"")</f>
        <v/>
      </c>
      <c r="AA31" t="str">
        <f>IFERROR(VLOOKUP($B31,$AA$4:$AP$5,16,FALSE),"")</f>
        <v/>
      </c>
      <c r="AB31" t="str">
        <f>IFERROR(VLOOKUP($B31,$AB$4:$AP$5,15,FALSE),"")</f>
        <v/>
      </c>
      <c r="AC31" t="str">
        <f>IFERROR(VLOOKUP($B31,$AC$4:$AP$5,14,FALSE),"")</f>
        <v/>
      </c>
      <c r="AD31" t="str">
        <f>IFERROR(VLOOKUP($B31,$AD$4:$AP$5,13,FALSE),"")</f>
        <v/>
      </c>
      <c r="AE31" t="str">
        <f>IFERROR(VLOOKUP($B31,$AE$4:$AP$5,12,FALSE),"")</f>
        <v/>
      </c>
      <c r="AF31" t="str">
        <f>IFERROR(VLOOKUP($B31,$AF$4:$AP$5,11,FALSE),"")</f>
        <v/>
      </c>
      <c r="AG31" t="str">
        <f>IFERROR(VLOOKUP($B31,$AG$4:$AP$5,10,FALSE),"")</f>
        <v/>
      </c>
      <c r="AH31" t="str">
        <f>IFERROR(VLOOKUP($B31,$AH$4:$AP$5,9,FALSE),"")</f>
        <v/>
      </c>
      <c r="AI31" t="str">
        <f>IFERROR(VLOOKUP($B31,$AI$4:$AP$5,8,FALSE),"")</f>
        <v/>
      </c>
      <c r="AJ31" t="str">
        <f>IFERROR(VLOOKUP($B31,$AJ$4:$AP$5,7,FALSE),"")</f>
        <v/>
      </c>
      <c r="AK31" t="str">
        <f>IFERROR(VLOOKUP($B31,$AK$4:$AP$5,6,FALSE),"")</f>
        <v/>
      </c>
      <c r="AL31" t="str">
        <f>IFERROR(VLOOKUP($B31,$AL$4:$AP$5,5,FALSE),"")</f>
        <v/>
      </c>
      <c r="AM31" t="str">
        <f>IFERROR(VLOOKUP($B31,$AM$4:$AP$5,4,FALSE),"")</f>
        <v/>
      </c>
      <c r="AN31" t="str">
        <f>IFERROR(VLOOKUP($B31,$AN$4:$AP$5,3,FALSE),"")</f>
        <v/>
      </c>
      <c r="AO31" t="str">
        <f>IFERROR(VLOOKUP($B31,$AN$4:$AP$5,3,FALSE),"")</f>
        <v/>
      </c>
      <c r="AQ31" s="41">
        <v>20</v>
      </c>
      <c r="AR31" s="118">
        <f>Tabulka13[[#This Row],[Race no.]]</f>
        <v>22</v>
      </c>
      <c r="AS31" s="42" t="str">
        <f>Tabulka13[[#This Row],[Surname and name]]</f>
        <v>Šimon Prágr</v>
      </c>
      <c r="AT31" s="40" t="str">
        <f>Tabulka13[[#This Row],[Team]]</f>
        <v>Dacom Pharma Kyjov</v>
      </c>
      <c r="AU31" s="40">
        <f>Tabulka13[[#This Row],[UCI ID]]</f>
        <v>10112045993</v>
      </c>
      <c r="AV31" s="36" t="e">
        <f>#REF!</f>
        <v>#REF!</v>
      </c>
      <c r="AW31" s="36" t="e">
        <f>#REF!</f>
        <v>#REF!</v>
      </c>
      <c r="AX31">
        <f>Tabulka13[[#This Row],[Body_bod]]</f>
        <v>0</v>
      </c>
    </row>
    <row r="32" spans="1:50" ht="15.75">
      <c r="A32" s="14">
        <f>RANK(Tabulka13[[#This Row],[Body_bod]],Tabulka13[Body_bod],0)</f>
        <v>10</v>
      </c>
      <c r="B32" s="44">
        <v>21</v>
      </c>
      <c r="C32" s="15">
        <v>10136844247</v>
      </c>
      <c r="D32" s="16" t="s">
        <v>365</v>
      </c>
      <c r="E32" s="17" t="s">
        <v>366</v>
      </c>
      <c r="F32" s="18" t="s">
        <v>367</v>
      </c>
      <c r="G32" s="49">
        <f>IFERROR(VLOOKUP(Tabulka13[[#This Row],[Race no.]],Vylučovačka!D:E,2,FALSE),"x")</f>
        <v>25</v>
      </c>
      <c r="H32" s="20">
        <f>IFERROR(VLOOKUP(G32,List1!B:C,2,FALSE),0)</f>
        <v>1</v>
      </c>
      <c r="I32" s="22">
        <f>SUM(L32:X32)</f>
        <v>0</v>
      </c>
      <c r="J32" s="50">
        <f>IFERROR(VLOOKUP(Tabulka13[[#This Row],[Race no.]],Bodovacka!D:E,2,FALSE),"x")</f>
        <v>19</v>
      </c>
      <c r="K32" s="22">
        <f>SUM(Y32:AO32)</f>
        <v>0</v>
      </c>
      <c r="L32" s="23" t="str">
        <f>IFERROR(VLOOKUP($B32,$L$2:$X$5,13,FALSE),"")</f>
        <v/>
      </c>
      <c r="M32" s="23" t="str">
        <f>IFERROR(VLOOKUP($B32,$M$2:$X$5,12,FALSE),"")</f>
        <v/>
      </c>
      <c r="N32" s="23" t="str">
        <f>IFERROR(VLOOKUP($B32,$N$2:$X$5,11,FALSE),"")</f>
        <v/>
      </c>
      <c r="O32" s="23" t="str">
        <f>IFERROR(VLOOKUP($B32,$O$2:$X$5,10,FALSE),"")</f>
        <v/>
      </c>
      <c r="P32" s="23" t="str">
        <f>IFERROR(VLOOKUP($B32,$P$2:$X$5,9,FALSE),"")</f>
        <v/>
      </c>
      <c r="Q32" s="23" t="str">
        <f>IFERROR(VLOOKUP($B32,$Q$2:$X$5,8,FALSE),"")</f>
        <v/>
      </c>
      <c r="R32" s="23" t="str">
        <f>IFERROR(VLOOKUP($B32,$R$2:$X$5,7,FALSE),"")</f>
        <v/>
      </c>
      <c r="S32" s="23" t="str">
        <f>IFERROR(VLOOKUP($B32,$S$2:$X$5,7,FALSE),"")</f>
        <v/>
      </c>
      <c r="T32" s="23" t="str">
        <f>IFERROR(VLOOKUP($B32,$R$2:$X$5,7,FALSE),"")</f>
        <v/>
      </c>
      <c r="U32" s="23" t="str">
        <f>IFERROR(VLOOKUP($B32,$R$2:$X$5,7,FALSE),"")</f>
        <v/>
      </c>
      <c r="V32" s="23" t="str">
        <f>IFERROR(VLOOKUP($B32,$R$2:$X$5,7,FALSE),"")</f>
        <v/>
      </c>
      <c r="W32" s="23" t="str">
        <f>IFERROR(VLOOKUP($B32,$W$2:$X$5,2,FALSE)*2,"")</f>
        <v/>
      </c>
      <c r="X32" s="23"/>
      <c r="Y32" t="str">
        <f>IFERROR(VLOOKUP($B32,$Y$4:$AP$5,18,FALSE),"")</f>
        <v/>
      </c>
      <c r="Z32" t="str">
        <f>IFERROR(VLOOKUP($B32,$Z$4:$AP$5,17,FALSE),"")</f>
        <v/>
      </c>
      <c r="AA32" t="str">
        <f>IFERROR(VLOOKUP($B32,$AA$4:$AP$5,16,FALSE),"")</f>
        <v/>
      </c>
      <c r="AB32" t="str">
        <f>IFERROR(VLOOKUP($B32,$AB$4:$AP$5,15,FALSE),"")</f>
        <v/>
      </c>
      <c r="AC32" t="str">
        <f>IFERROR(VLOOKUP($B32,$AC$4:$AP$5,14,FALSE),"")</f>
        <v/>
      </c>
      <c r="AD32" t="str">
        <f>IFERROR(VLOOKUP($B32,$AD$4:$AP$5,13,FALSE),"")</f>
        <v/>
      </c>
      <c r="AE32" t="str">
        <f>IFERROR(VLOOKUP($B32,$AE$4:$AP$5,12,FALSE),"")</f>
        <v/>
      </c>
      <c r="AF32" t="str">
        <f>IFERROR(VLOOKUP($B32,$AF$4:$AP$5,11,FALSE),"")</f>
        <v/>
      </c>
      <c r="AG32" t="str">
        <f>IFERROR(VLOOKUP($B32,$AG$4:$AP$5,10,FALSE),"")</f>
        <v/>
      </c>
      <c r="AH32" t="str">
        <f>IFERROR(VLOOKUP($B32,$AH$4:$AP$5,9,FALSE),"")</f>
        <v/>
      </c>
      <c r="AI32" t="str">
        <f>IFERROR(VLOOKUP($B32,$AI$4:$AP$5,8,FALSE),"")</f>
        <v/>
      </c>
      <c r="AJ32" t="str">
        <f>IFERROR(VLOOKUP($B32,$AJ$4:$AP$5,7,FALSE),"")</f>
        <v/>
      </c>
      <c r="AK32" t="str">
        <f>IFERROR(VLOOKUP($B32,$AK$4:$AP$5,6,FALSE),"")</f>
        <v/>
      </c>
      <c r="AL32" t="str">
        <f>IFERROR(VLOOKUP($B32,$AL$4:$AP$5,5,FALSE),"")</f>
        <v/>
      </c>
      <c r="AM32" t="str">
        <f>IFERROR(VLOOKUP($B32,$AM$4:$AP$5,4,FALSE),"")</f>
        <v/>
      </c>
      <c r="AN32" t="str">
        <f>IFERROR(VLOOKUP($B32,$AN$4:$AP$5,3,FALSE),"")</f>
        <v/>
      </c>
      <c r="AO32" t="str">
        <f>IFERROR(VLOOKUP($B32,$AN$4:$AP$5,3,FALSE),"")</f>
        <v/>
      </c>
      <c r="AQ32" s="41">
        <v>21</v>
      </c>
      <c r="AR32" s="118">
        <f>Tabulka13[[#This Row],[Race no.]]</f>
        <v>21</v>
      </c>
      <c r="AS32" s="42" t="str">
        <f>Tabulka13[[#This Row],[Surname and name]]</f>
        <v>Fred STEINDL</v>
      </c>
      <c r="AT32" s="40" t="str">
        <f>Tabulka13[[#This Row],[Team]]</f>
        <v>RLM Wien</v>
      </c>
      <c r="AU32" s="40">
        <f>Tabulka13[[#This Row],[UCI ID]]</f>
        <v>10136844247</v>
      </c>
      <c r="AV32" s="36" t="e">
        <f>#REF!</f>
        <v>#REF!</v>
      </c>
      <c r="AW32" s="36" t="e">
        <f>#REF!</f>
        <v>#REF!</v>
      </c>
      <c r="AX32">
        <f>Tabulka13[[#This Row],[Body_bod]]</f>
        <v>0</v>
      </c>
    </row>
    <row r="33" spans="1:50" ht="15.75">
      <c r="A33" s="14">
        <f>RANK(Tabulka13[[#This Row],[Body_bod]],Tabulka13[Body_bod],0)</f>
        <v>10</v>
      </c>
      <c r="B33" s="44">
        <v>16</v>
      </c>
      <c r="C33" s="15">
        <v>10091868680</v>
      </c>
      <c r="D33" s="16" t="s">
        <v>361</v>
      </c>
      <c r="E33" s="17" t="s">
        <v>359</v>
      </c>
      <c r="F33" s="18" t="s">
        <v>342</v>
      </c>
      <c r="G33" s="49">
        <f>IFERROR(VLOOKUP(Tabulka13[[#This Row],[Race no.]],Vylučovačka!D:E,2,FALSE),"x")</f>
        <v>19</v>
      </c>
      <c r="H33" s="20">
        <f>IFERROR(VLOOKUP(G33,List1!B:C,2,FALSE),0)</f>
        <v>4</v>
      </c>
      <c r="I33" s="22">
        <f>SUM(L33:X33)</f>
        <v>0</v>
      </c>
      <c r="J33" s="50">
        <f>IFERROR(VLOOKUP(Tabulka13[[#This Row],[Race no.]],Bodovacka!D:E,2,FALSE),"x")</f>
        <v>20</v>
      </c>
      <c r="K33" s="22">
        <f>SUM(Y33:AO33)</f>
        <v>0</v>
      </c>
      <c r="L33" s="23" t="str">
        <f>IFERROR(VLOOKUP($B33,$L$2:$X$5,13,FALSE),"")</f>
        <v/>
      </c>
      <c r="M33" s="23" t="str">
        <f>IFERROR(VLOOKUP($B33,$M$2:$X$5,12,FALSE),"")</f>
        <v/>
      </c>
      <c r="N33" s="23" t="str">
        <f>IFERROR(VLOOKUP($B33,$N$2:$X$5,11,FALSE),"")</f>
        <v/>
      </c>
      <c r="O33" s="23" t="str">
        <f>IFERROR(VLOOKUP($B33,$O$2:$X$5,10,FALSE),"")</f>
        <v/>
      </c>
      <c r="P33" s="23" t="str">
        <f>IFERROR(VLOOKUP($B33,$P$2:$X$5,9,FALSE),"")</f>
        <v/>
      </c>
      <c r="Q33" s="23" t="str">
        <f>IFERROR(VLOOKUP($B33,$Q$2:$X$5,8,FALSE),"")</f>
        <v/>
      </c>
      <c r="R33" s="23" t="str">
        <f>IFERROR(VLOOKUP($B33,$R$2:$X$5,7,FALSE),"")</f>
        <v/>
      </c>
      <c r="S33" s="23" t="str">
        <f>IFERROR(VLOOKUP($B33,$S$2:$X$5,7,FALSE),"")</f>
        <v/>
      </c>
      <c r="T33" s="23" t="str">
        <f>IFERROR(VLOOKUP($B33,$R$2:$X$5,7,FALSE),"")</f>
        <v/>
      </c>
      <c r="U33" s="23" t="str">
        <f>IFERROR(VLOOKUP($B33,$R$2:$X$5,7,FALSE),"")</f>
        <v/>
      </c>
      <c r="V33" s="23" t="str">
        <f>IFERROR(VLOOKUP($B33,$R$2:$X$5,7,FALSE),"")</f>
        <v/>
      </c>
      <c r="W33" s="23" t="str">
        <f>IFERROR(VLOOKUP($B33,$W$2:$X$5,2,FALSE)*2,"")</f>
        <v/>
      </c>
      <c r="X33" s="23"/>
      <c r="Y33" t="str">
        <f>IFERROR(VLOOKUP($B33,$Y$4:$AP$5,18,FALSE),"")</f>
        <v/>
      </c>
      <c r="Z33" t="str">
        <f>IFERROR(VLOOKUP($B33,$Z$4:$AP$5,17,FALSE),"")</f>
        <v/>
      </c>
      <c r="AA33" t="str">
        <f>IFERROR(VLOOKUP($B33,$AA$4:$AP$5,16,FALSE),"")</f>
        <v/>
      </c>
      <c r="AB33" t="str">
        <f>IFERROR(VLOOKUP($B33,$AB$4:$AP$5,15,FALSE),"")</f>
        <v/>
      </c>
      <c r="AC33" t="str">
        <f>IFERROR(VLOOKUP($B33,$AC$4:$AP$5,14,FALSE),"")</f>
        <v/>
      </c>
      <c r="AD33" t="str">
        <f>IFERROR(VLOOKUP($B33,$AD$4:$AP$5,13,FALSE),"")</f>
        <v/>
      </c>
      <c r="AE33" t="str">
        <f>IFERROR(VLOOKUP($B33,$AE$4:$AP$5,12,FALSE),"")</f>
        <v/>
      </c>
      <c r="AF33" t="str">
        <f>IFERROR(VLOOKUP($B33,$AF$4:$AP$5,11,FALSE),"")</f>
        <v/>
      </c>
      <c r="AG33" t="str">
        <f>IFERROR(VLOOKUP($B33,$AG$4:$AP$5,10,FALSE),"")</f>
        <v/>
      </c>
      <c r="AH33" t="str">
        <f>IFERROR(VLOOKUP($B33,$AH$4:$AP$5,9,FALSE),"")</f>
        <v/>
      </c>
      <c r="AI33" t="str">
        <f>IFERROR(VLOOKUP($B33,$AI$4:$AP$5,8,FALSE),"")</f>
        <v/>
      </c>
      <c r="AJ33" t="str">
        <f>IFERROR(VLOOKUP($B33,$AJ$4:$AP$5,7,FALSE),"")</f>
        <v/>
      </c>
      <c r="AK33" t="str">
        <f>IFERROR(VLOOKUP($B33,$AK$4:$AP$5,6,FALSE),"")</f>
        <v/>
      </c>
      <c r="AL33" t="str">
        <f>IFERROR(VLOOKUP($B33,$AL$4:$AP$5,5,FALSE),"")</f>
        <v/>
      </c>
      <c r="AM33" t="str">
        <f>IFERROR(VLOOKUP($B33,$AM$4:$AP$5,4,FALSE),"")</f>
        <v/>
      </c>
      <c r="AN33" t="str">
        <f>IFERROR(VLOOKUP($B33,$AN$4:$AP$5,3,FALSE),"")</f>
        <v/>
      </c>
      <c r="AO33" t="str">
        <f>IFERROR(VLOOKUP($B33,$AN$4:$AP$5,3,FALSE),"")</f>
        <v/>
      </c>
      <c r="AQ33" s="41">
        <v>22</v>
      </c>
      <c r="AR33" s="118">
        <f>Tabulka13[[#This Row],[Race no.]]</f>
        <v>16</v>
      </c>
      <c r="AS33" s="42" t="str">
        <f>Tabulka13[[#This Row],[Surname and name]]</f>
        <v>Štefan ŠIDELSKÝ</v>
      </c>
      <c r="AT33" s="40" t="str">
        <f>Tabulka13[[#This Row],[Team]]</f>
        <v>CyS Akadémia Petera Sagana</v>
      </c>
      <c r="AU33" s="40">
        <f>Tabulka13[[#This Row],[UCI ID]]</f>
        <v>10091868680</v>
      </c>
      <c r="AV33" s="36" t="e">
        <f>#REF!</f>
        <v>#REF!</v>
      </c>
      <c r="AW33" s="36" t="e">
        <f>#REF!</f>
        <v>#REF!</v>
      </c>
      <c r="AX33">
        <f>Tabulka13[[#This Row],[Body_bod]]</f>
        <v>0</v>
      </c>
    </row>
    <row r="34" spans="1:50" ht="15.75">
      <c r="A34" s="14">
        <f>RANK(Tabulka13[[#This Row],[Body_bod]],Tabulka13[Body_bod],0)</f>
        <v>10</v>
      </c>
      <c r="B34" s="44">
        <v>7</v>
      </c>
      <c r="C34" s="15">
        <v>10137496672</v>
      </c>
      <c r="D34" s="16" t="s">
        <v>349</v>
      </c>
      <c r="E34" s="17" t="s">
        <v>341</v>
      </c>
      <c r="F34" s="18" t="s">
        <v>345</v>
      </c>
      <c r="G34" s="49">
        <f>IFERROR(VLOOKUP(Tabulka13[[#This Row],[Race no.]],Vylučovačka!D:E,2,FALSE),"x")</f>
        <v>18</v>
      </c>
      <c r="H34" s="20">
        <f>IFERROR(VLOOKUP(G34,List1!B:C,2,FALSE),0)</f>
        <v>6</v>
      </c>
      <c r="I34" s="22">
        <f>SUM(L34:X34)</f>
        <v>0</v>
      </c>
      <c r="J34" s="50">
        <f>IFERROR(VLOOKUP(Tabulka13[[#This Row],[Race no.]],Bodovacka!D:E,2,FALSE),"x")</f>
        <v>23</v>
      </c>
      <c r="K34" s="22">
        <f>SUM(Y34:AO34)</f>
        <v>0</v>
      </c>
      <c r="L34" s="23" t="str">
        <f>IFERROR(VLOOKUP($B34,$L$2:$X$5,13,FALSE),"")</f>
        <v/>
      </c>
      <c r="M34" s="23" t="str">
        <f>IFERROR(VLOOKUP($B34,$M$2:$X$5,12,FALSE),"")</f>
        <v/>
      </c>
      <c r="N34" s="23" t="str">
        <f>IFERROR(VLOOKUP($B34,$N$2:$X$5,11,FALSE),"")</f>
        <v/>
      </c>
      <c r="O34" s="23" t="str">
        <f>IFERROR(VLOOKUP($B34,$O$2:$X$5,10,FALSE),"")</f>
        <v/>
      </c>
      <c r="P34" s="23" t="str">
        <f>IFERROR(VLOOKUP($B34,$P$2:$X$5,9,FALSE),"")</f>
        <v/>
      </c>
      <c r="Q34" s="23" t="str">
        <f>IFERROR(VLOOKUP($B34,$Q$2:$X$5,8,FALSE),"")</f>
        <v/>
      </c>
      <c r="R34" s="23" t="str">
        <f>IFERROR(VLOOKUP($B34,$R$2:$X$5,7,FALSE),"")</f>
        <v/>
      </c>
      <c r="S34" s="23" t="str">
        <f>IFERROR(VLOOKUP($B34,$S$2:$X$5,7,FALSE),"")</f>
        <v/>
      </c>
      <c r="T34" s="23" t="str">
        <f>IFERROR(VLOOKUP($B34,$R$2:$X$5,7,FALSE),"")</f>
        <v/>
      </c>
      <c r="U34" s="23" t="str">
        <f>IFERROR(VLOOKUP($B34,$R$2:$X$5,7,FALSE),"")</f>
        <v/>
      </c>
      <c r="V34" s="23" t="str">
        <f>IFERROR(VLOOKUP($B34,$R$2:$X$5,7,FALSE),"")</f>
        <v/>
      </c>
      <c r="W34" s="23" t="str">
        <f>IFERROR(VLOOKUP($B34,$W$2:$X$5,2,FALSE)*2,"")</f>
        <v/>
      </c>
      <c r="X34" s="23"/>
      <c r="Y34" t="str">
        <f>IFERROR(VLOOKUP($B34,$Y$4:$AP$5,18,FALSE),"")</f>
        <v/>
      </c>
      <c r="Z34" t="str">
        <f>IFERROR(VLOOKUP($B34,$Z$4:$AP$5,17,FALSE),"")</f>
        <v/>
      </c>
      <c r="AA34" t="str">
        <f>IFERROR(VLOOKUP($B34,$AA$4:$AP$5,16,FALSE),"")</f>
        <v/>
      </c>
      <c r="AB34" t="str">
        <f>IFERROR(VLOOKUP($B34,$AB$4:$AP$5,15,FALSE),"")</f>
        <v/>
      </c>
      <c r="AC34" t="str">
        <f>IFERROR(VLOOKUP($B34,$AC$4:$AP$5,14,FALSE),"")</f>
        <v/>
      </c>
      <c r="AD34" t="str">
        <f>IFERROR(VLOOKUP($B34,$AD$4:$AP$5,13,FALSE),"")</f>
        <v/>
      </c>
      <c r="AE34" t="str">
        <f>IFERROR(VLOOKUP($B34,$AE$4:$AP$5,12,FALSE),"")</f>
        <v/>
      </c>
      <c r="AF34" t="str">
        <f>IFERROR(VLOOKUP($B34,$AF$4:$AP$5,11,FALSE),"")</f>
        <v/>
      </c>
      <c r="AG34" t="str">
        <f>IFERROR(VLOOKUP($B34,$AG$4:$AP$5,10,FALSE),"")</f>
        <v/>
      </c>
      <c r="AH34" t="str">
        <f>IFERROR(VLOOKUP($B34,$AH$4:$AP$5,9,FALSE),"")</f>
        <v/>
      </c>
      <c r="AI34" t="str">
        <f>IFERROR(VLOOKUP($B34,$AI$4:$AP$5,8,FALSE),"")</f>
        <v/>
      </c>
      <c r="AJ34" t="str">
        <f>IFERROR(VLOOKUP($B34,$AJ$4:$AP$5,7,FALSE),"")</f>
        <v/>
      </c>
      <c r="AK34" t="str">
        <f>IFERROR(VLOOKUP($B34,$AK$4:$AP$5,6,FALSE),"")</f>
        <v/>
      </c>
      <c r="AL34" t="str">
        <f>IFERROR(VLOOKUP($B34,$AL$4:$AP$5,5,FALSE),"")</f>
        <v/>
      </c>
      <c r="AM34" t="str">
        <f>IFERROR(VLOOKUP($B34,$AM$4:$AP$5,4,FALSE),"")</f>
        <v/>
      </c>
      <c r="AN34" t="str">
        <f>IFERROR(VLOOKUP($B34,$AN$4:$AP$5,3,FALSE),"")</f>
        <v/>
      </c>
      <c r="AO34" t="str">
        <f>IFERROR(VLOOKUP($B34,$AN$4:$AP$5,3,FALSE),"")</f>
        <v/>
      </c>
      <c r="AQ34" s="41">
        <v>23</v>
      </c>
      <c r="AR34" s="118">
        <f>Tabulka13[[#This Row],[Race no.]]</f>
        <v>7</v>
      </c>
      <c r="AS34" s="42" t="str">
        <f>Tabulka13[[#This Row],[Surname and name]]</f>
        <v>Lukáš LAKOMÝ</v>
      </c>
      <c r="AT34" s="40" t="str">
        <f>Tabulka13[[#This Row],[Team]]</f>
        <v>TUFO PARDUS Prostějov z.s.</v>
      </c>
      <c r="AU34" s="40">
        <f>Tabulka13[[#This Row],[UCI ID]]</f>
        <v>10137496672</v>
      </c>
      <c r="AV34" s="36" t="e">
        <f>#REF!</f>
        <v>#REF!</v>
      </c>
      <c r="AW34" s="36" t="e">
        <f>#REF!</f>
        <v>#REF!</v>
      </c>
      <c r="AX34">
        <f>Tabulka13[[#This Row],[Body_bod]]</f>
        <v>0</v>
      </c>
    </row>
    <row r="35" spans="1:50" ht="15.75">
      <c r="A35" s="14">
        <f>RANK(Tabulka13[[#This Row],[Body_bod]],Tabulka13[Body_bod],0)</f>
        <v>26</v>
      </c>
      <c r="B35" s="44">
        <v>1</v>
      </c>
      <c r="C35" s="15">
        <v>10130649280</v>
      </c>
      <c r="D35" s="16" t="s">
        <v>340</v>
      </c>
      <c r="E35" s="17" t="s">
        <v>341</v>
      </c>
      <c r="F35" s="18" t="s">
        <v>342</v>
      </c>
      <c r="G35" s="49">
        <f>IFERROR(VLOOKUP(Tabulka13[[#This Row],[Race no.]],Vylučovačka!D:E,2,FALSE),"x")</f>
        <v>24</v>
      </c>
      <c r="H35" s="20">
        <f>IFERROR(VLOOKUP(G35,List1!B:C,2,FALSE),0)</f>
        <v>1</v>
      </c>
      <c r="I35" s="22">
        <f>SUM(L35:X35)</f>
        <v>-20</v>
      </c>
      <c r="J35" s="50">
        <f>IFERROR(VLOOKUP(Tabulka13[[#This Row],[Race no.]],Bodovacka!D:E,2,FALSE),"x")</f>
        <v>25</v>
      </c>
      <c r="K35" s="22">
        <f>SUM(Y35:AO35)</f>
        <v>0</v>
      </c>
      <c r="L35" s="23" t="str">
        <f>IFERROR(VLOOKUP($B35,$L$2:$X$5,13,FALSE),"")</f>
        <v/>
      </c>
      <c r="M35" s="23" t="str">
        <f>IFERROR(VLOOKUP($B35,$M$2:$X$5,12,FALSE),"")</f>
        <v/>
      </c>
      <c r="N35" s="23" t="str">
        <f>IFERROR(VLOOKUP($B35,$N$2:$X$5,11,FALSE),"")</f>
        <v/>
      </c>
      <c r="O35" s="23" t="str">
        <f>IFERROR(VLOOKUP($B35,$O$2:$X$5,10,FALSE),"")</f>
        <v/>
      </c>
      <c r="P35" s="23" t="str">
        <f>IFERROR(VLOOKUP($B35,$P$2:$X$5,9,FALSE),"")</f>
        <v/>
      </c>
      <c r="Q35" s="23" t="str">
        <f>IFERROR(VLOOKUP($B35,$Q$2:$X$5,8,FALSE),"")</f>
        <v/>
      </c>
      <c r="R35" s="23" t="str">
        <f>IFERROR(VLOOKUP($B35,$R$2:$X$5,7,FALSE),"")</f>
        <v/>
      </c>
      <c r="S35" s="23" t="str">
        <f>IFERROR(VLOOKUP($B35,$S$2:$X$5,7,FALSE),"")</f>
        <v/>
      </c>
      <c r="T35" s="23" t="str">
        <f>IFERROR(VLOOKUP($B35,$R$2:$X$5,7,FALSE),"")</f>
        <v/>
      </c>
      <c r="U35" s="23" t="str">
        <f>IFERROR(VLOOKUP($B35,$R$2:$X$5,7,FALSE),"")</f>
        <v/>
      </c>
      <c r="V35" s="23" t="str">
        <f>IFERROR(VLOOKUP($B35,$R$2:$X$5,7,FALSE),"")</f>
        <v/>
      </c>
      <c r="W35" s="23" t="str">
        <f>IFERROR(VLOOKUP($B35,$W$2:$X$5,2,FALSE)*2,"")</f>
        <v/>
      </c>
      <c r="X35" s="23">
        <v>-20</v>
      </c>
      <c r="Y35" t="str">
        <f>IFERROR(VLOOKUP($B35,$Y$4:$AP$5,18,FALSE),"")</f>
        <v/>
      </c>
      <c r="Z35" t="str">
        <f>IFERROR(VLOOKUP($B35,$Z$4:$AP$5,17,FALSE),"")</f>
        <v/>
      </c>
      <c r="AA35" t="str">
        <f>IFERROR(VLOOKUP($B35,$AA$4:$AP$5,16,FALSE),"")</f>
        <v/>
      </c>
      <c r="AB35" t="str">
        <f>IFERROR(VLOOKUP($B35,$AB$4:$AP$5,15,FALSE),"")</f>
        <v/>
      </c>
      <c r="AC35" t="str">
        <f>IFERROR(VLOOKUP($B35,$AC$4:$AP$5,14,FALSE),"")</f>
        <v/>
      </c>
      <c r="AD35" t="str">
        <f>IFERROR(VLOOKUP($B35,$AD$4:$AP$5,13,FALSE),"")</f>
        <v/>
      </c>
      <c r="AE35" t="str">
        <f>IFERROR(VLOOKUP($B35,$AE$4:$AP$5,12,FALSE),"")</f>
        <v/>
      </c>
      <c r="AF35" t="str">
        <f>IFERROR(VLOOKUP($B35,$AF$4:$AP$5,11,FALSE),"")</f>
        <v/>
      </c>
      <c r="AG35" t="str">
        <f>IFERROR(VLOOKUP($B35,$AG$4:$AP$5,10,FALSE),"")</f>
        <v/>
      </c>
      <c r="AH35" t="str">
        <f>IFERROR(VLOOKUP($B35,$AH$4:$AP$5,9,FALSE),"")</f>
        <v/>
      </c>
      <c r="AI35" t="str">
        <f>IFERROR(VLOOKUP($B35,$AI$4:$AP$5,8,FALSE),"")</f>
        <v/>
      </c>
      <c r="AJ35" t="str">
        <f>IFERROR(VLOOKUP($B35,$AJ$4:$AP$5,7,FALSE),"")</f>
        <v/>
      </c>
      <c r="AK35" t="str">
        <f>IFERROR(VLOOKUP($B35,$AK$4:$AP$5,6,FALSE),"")</f>
        <v/>
      </c>
      <c r="AL35" s="113" t="str">
        <f>IFERROR(VLOOKUP($B35,$AL$4:$AP$5,5,FALSE),"")</f>
        <v/>
      </c>
      <c r="AM35" t="str">
        <f>IFERROR(VLOOKUP($B35,$AM$4:$AP$5,4,FALSE),"")</f>
        <v/>
      </c>
      <c r="AN35" t="str">
        <f>IFERROR(VLOOKUP($B35,$AN$4:$AP$5,3,FALSE),"")</f>
        <v/>
      </c>
      <c r="AO35" t="str">
        <f>IFERROR(VLOOKUP($B35,$AN$4:$AP$5,3,FALSE),"")</f>
        <v/>
      </c>
      <c r="AQ35" s="41">
        <v>24</v>
      </c>
      <c r="AR35" s="118">
        <f>Tabulka13[[#This Row],[Race no.]]</f>
        <v>1</v>
      </c>
      <c r="AS35" s="42" t="str">
        <f>Tabulka13[[#This Row],[Surname and name]]</f>
        <v>Jakub DEDEK</v>
      </c>
      <c r="AT35" s="40" t="str">
        <f>Tabulka13[[#This Row],[Team]]</f>
        <v>TUFO PARDUS Prostějov z.s.</v>
      </c>
      <c r="AU35" s="40">
        <f>Tabulka13[[#This Row],[UCI ID]]</f>
        <v>10130649280</v>
      </c>
      <c r="AV35" s="36" t="e">
        <f>#REF!</f>
        <v>#REF!</v>
      </c>
      <c r="AW35" s="36" t="e">
        <f>#REF!</f>
        <v>#REF!</v>
      </c>
      <c r="AX35">
        <f>Tabulka13[[#This Row],[Body_bod]]</f>
        <v>-20</v>
      </c>
    </row>
    <row r="36" spans="1:50" ht="15.75">
      <c r="A36" s="14">
        <f>RANK(Tabulka13[[#This Row],[Body_bod]],Tabulka13[Body_bod],0)</f>
        <v>26</v>
      </c>
      <c r="B36" s="44">
        <v>19</v>
      </c>
      <c r="C36" s="15">
        <v>10133448742</v>
      </c>
      <c r="D36" s="16" t="s">
        <v>364</v>
      </c>
      <c r="E36" s="17" t="s">
        <v>247</v>
      </c>
      <c r="F36" s="18" t="s">
        <v>345</v>
      </c>
      <c r="G36" s="49">
        <f>IFERROR(VLOOKUP(Tabulka13[[#This Row],[Race no.]],Vylučovačka!D:E,2,FALSE),"x")</f>
        <v>21</v>
      </c>
      <c r="H36" s="20">
        <f>IFERROR(VLOOKUP(G36,List1!B:C,2,FALSE),0)</f>
        <v>1</v>
      </c>
      <c r="I36" s="22">
        <f>SUM(L36:X36)</f>
        <v>-20</v>
      </c>
      <c r="J36" s="50">
        <f>IFERROR(VLOOKUP(Tabulka13[[#This Row],[Race no.]],Bodovacka!D:E,2,FALSE),"x")</f>
        <v>26</v>
      </c>
      <c r="K36" s="22">
        <f>SUM(Y36:AO36)</f>
        <v>0</v>
      </c>
      <c r="L36" s="23" t="str">
        <f>IFERROR(VLOOKUP($B36,$L$2:$X$5,13,FALSE),"")</f>
        <v/>
      </c>
      <c r="M36" s="23" t="str">
        <f>IFERROR(VLOOKUP($B36,$M$2:$X$5,12,FALSE),"")</f>
        <v/>
      </c>
      <c r="N36" s="23" t="str">
        <f>IFERROR(VLOOKUP($B36,$N$2:$X$5,11,FALSE),"")</f>
        <v/>
      </c>
      <c r="O36" s="23" t="str">
        <f>IFERROR(VLOOKUP($B36,$O$2:$X$5,10,FALSE),"")</f>
        <v/>
      </c>
      <c r="P36" s="23" t="str">
        <f>IFERROR(VLOOKUP($B36,$P$2:$X$5,9,FALSE),"")</f>
        <v/>
      </c>
      <c r="Q36" s="23" t="str">
        <f>IFERROR(VLOOKUP($B36,$Q$2:$X$5,8,FALSE),"")</f>
        <v/>
      </c>
      <c r="R36" s="23" t="str">
        <f>IFERROR(VLOOKUP($B36,$R$2:$X$5,7,FALSE),"")</f>
        <v/>
      </c>
      <c r="S36" s="23" t="str">
        <f>IFERROR(VLOOKUP($B36,$S$2:$X$5,7,FALSE),"")</f>
        <v/>
      </c>
      <c r="T36" s="23" t="str">
        <f>IFERROR(VLOOKUP($B36,$R$2:$X$5,7,FALSE),"")</f>
        <v/>
      </c>
      <c r="U36" s="23" t="str">
        <f>IFERROR(VLOOKUP($B36,$R$2:$X$5,7,FALSE),"")</f>
        <v/>
      </c>
      <c r="V36" s="23" t="str">
        <f>IFERROR(VLOOKUP($B36,$R$2:$X$5,7,FALSE),"")</f>
        <v/>
      </c>
      <c r="W36" s="23" t="str">
        <f>IFERROR(VLOOKUP($B36,$W$2:$X$5,2,FALSE)*2,"")</f>
        <v/>
      </c>
      <c r="X36" s="23">
        <v>-20</v>
      </c>
      <c r="Y36" t="str">
        <f>IFERROR(VLOOKUP($B36,$Y$4:$AP$5,18,FALSE),"")</f>
        <v/>
      </c>
      <c r="Z36" t="str">
        <f>IFERROR(VLOOKUP($B36,$Z$4:$AP$5,17,FALSE),"")</f>
        <v/>
      </c>
      <c r="AA36" t="str">
        <f>IFERROR(VLOOKUP($B36,$AA$4:$AP$5,16,FALSE),"")</f>
        <v/>
      </c>
      <c r="AB36" t="str">
        <f>IFERROR(VLOOKUP($B36,$AB$4:$AP$5,15,FALSE),"")</f>
        <v/>
      </c>
      <c r="AC36" t="str">
        <f>IFERROR(VLOOKUP($B36,$AC$4:$AP$5,14,FALSE),"")</f>
        <v/>
      </c>
      <c r="AD36" t="str">
        <f>IFERROR(VLOOKUP($B36,$AD$4:$AP$5,13,FALSE),"")</f>
        <v/>
      </c>
      <c r="AE36" t="str">
        <f>IFERROR(VLOOKUP($B36,$AE$4:$AP$5,12,FALSE),"")</f>
        <v/>
      </c>
      <c r="AF36" t="str">
        <f>IFERROR(VLOOKUP($B36,$AF$4:$AP$5,11,FALSE),"")</f>
        <v/>
      </c>
      <c r="AG36" t="str">
        <f>IFERROR(VLOOKUP($B36,$AG$4:$AP$5,10,FALSE),"")</f>
        <v/>
      </c>
      <c r="AH36" t="str">
        <f>IFERROR(VLOOKUP($B36,$AH$4:$AP$5,9,FALSE),"")</f>
        <v/>
      </c>
      <c r="AI36" t="str">
        <f>IFERROR(VLOOKUP($B36,$AI$4:$AP$5,8,FALSE),"")</f>
        <v/>
      </c>
      <c r="AJ36" t="str">
        <f>IFERROR(VLOOKUP($B36,$AJ$4:$AP$5,7,FALSE),"")</f>
        <v/>
      </c>
      <c r="AK36" t="str">
        <f>IFERROR(VLOOKUP($B36,$AK$4:$AP$5,6,FALSE),"")</f>
        <v/>
      </c>
      <c r="AL36" t="str">
        <f>IFERROR(VLOOKUP($B36,$AL$4:$AP$5,5,FALSE),"")</f>
        <v/>
      </c>
      <c r="AM36" t="str">
        <f>IFERROR(VLOOKUP($B36,$AM$4:$AP$5,4,FALSE),"")</f>
        <v/>
      </c>
      <c r="AN36" t="str">
        <f>IFERROR(VLOOKUP($B36,$AN$4:$AP$5,3,FALSE),"")</f>
        <v/>
      </c>
      <c r="AO36" t="str">
        <f>IFERROR(VLOOKUP($B36,$AN$4:$AP$5,3,FALSE),"")</f>
        <v/>
      </c>
      <c r="AQ36" s="41">
        <v>25</v>
      </c>
      <c r="AR36" s="118">
        <f>Tabulka13[[#This Row],[Race no.]]</f>
        <v>19</v>
      </c>
      <c r="AS36" s="42" t="str">
        <f>Tabulka13[[#This Row],[Surname and name]]</f>
        <v>Oliver SAMUEL</v>
      </c>
      <c r="AT36" s="40" t="str">
        <f>Tabulka13[[#This Row],[Team]]</f>
        <v>CK Olympik Trnava</v>
      </c>
      <c r="AU36" s="40">
        <f>Tabulka13[[#This Row],[UCI ID]]</f>
        <v>10133448742</v>
      </c>
      <c r="AV36" s="36" t="e">
        <f>#REF!</f>
        <v>#REF!</v>
      </c>
      <c r="AW36" s="36" t="e">
        <f>#REF!</f>
        <v>#REF!</v>
      </c>
      <c r="AX36">
        <f>Tabulka13[[#This Row],[Body_bod]]</f>
        <v>-20</v>
      </c>
    </row>
    <row r="37" spans="1:50" ht="15.75">
      <c r="A37" s="14">
        <f>RANK(Tabulka13[[#This Row],[Body_bod]],Tabulka13[Body_bod],0)</f>
        <v>28</v>
      </c>
      <c r="B37" s="44">
        <v>23</v>
      </c>
      <c r="C37" s="15">
        <v>10112046401</v>
      </c>
      <c r="D37" s="16" t="s">
        <v>370</v>
      </c>
      <c r="E37" s="17" t="s">
        <v>385</v>
      </c>
      <c r="F37" s="18" t="s">
        <v>345</v>
      </c>
      <c r="G37" s="49">
        <f>IFERROR(VLOOKUP(Tabulka13[[#This Row],[Race no.]],Vylučovačka!D:E,2,FALSE),"x")</f>
        <v>26</v>
      </c>
      <c r="H37" s="20">
        <f>IFERROR(VLOOKUP(G37,List1!B:C,2,FALSE),0)</f>
        <v>1</v>
      </c>
      <c r="I37" s="22">
        <f>SUM(L37:X37)</f>
        <v>-40</v>
      </c>
      <c r="J37" s="50">
        <f>IFERROR(VLOOKUP(Tabulka13[[#This Row],[Race no.]],Bodovacka!D:E,2,FALSE),"x")</f>
        <v>24</v>
      </c>
      <c r="K37" s="22">
        <f>SUM(Y37:AO37)</f>
        <v>0</v>
      </c>
      <c r="L37" s="23" t="str">
        <f>IFERROR(VLOOKUP($B37,$L$2:$X$5,13,FALSE),"")</f>
        <v/>
      </c>
      <c r="M37" s="23" t="str">
        <f>IFERROR(VLOOKUP($B37,$M$2:$X$5,12,FALSE),"")</f>
        <v/>
      </c>
      <c r="N37" s="23" t="str">
        <f>IFERROR(VLOOKUP($B37,$N$2:$X$5,11,FALSE),"")</f>
        <v/>
      </c>
      <c r="O37" s="23" t="str">
        <f>IFERROR(VLOOKUP($B37,$O$2:$X$5,10,FALSE),"")</f>
        <v/>
      </c>
      <c r="P37" s="23" t="str">
        <f>IFERROR(VLOOKUP($B37,$P$2:$X$5,9,FALSE),"")</f>
        <v/>
      </c>
      <c r="Q37" s="23" t="str">
        <f>IFERROR(VLOOKUP($B37,$Q$2:$X$5,8,FALSE),"")</f>
        <v/>
      </c>
      <c r="R37" s="23" t="str">
        <f>IFERROR(VLOOKUP($B37,$R$2:$X$5,7,FALSE),"")</f>
        <v/>
      </c>
      <c r="S37" s="23" t="str">
        <f>IFERROR(VLOOKUP($B37,$S$2:$X$5,7,FALSE),"")</f>
        <v/>
      </c>
      <c r="T37" s="23" t="str">
        <f>IFERROR(VLOOKUP($B37,$R$2:$X$5,7,FALSE),"")</f>
        <v/>
      </c>
      <c r="U37" s="23" t="str">
        <f>IFERROR(VLOOKUP($B37,$R$2:$X$5,7,FALSE),"")</f>
        <v/>
      </c>
      <c r="V37" s="23" t="str">
        <f>IFERROR(VLOOKUP($B37,$R$2:$X$5,7,FALSE),"")</f>
        <v/>
      </c>
      <c r="W37" s="23" t="str">
        <f>IFERROR(VLOOKUP($B37,$W$2:$X$5,2,FALSE)*2,"")</f>
        <v/>
      </c>
      <c r="X37" s="23">
        <v>-40</v>
      </c>
      <c r="Y37" t="str">
        <f>IFERROR(VLOOKUP($B37,$Y$4:$AP$5,18,FALSE),"")</f>
        <v/>
      </c>
      <c r="Z37" t="str">
        <f>IFERROR(VLOOKUP($B37,$Z$4:$AP$5,17,FALSE),"")</f>
        <v/>
      </c>
      <c r="AA37" t="str">
        <f>IFERROR(VLOOKUP($B37,$AA$4:$AP$5,16,FALSE),"")</f>
        <v/>
      </c>
      <c r="AB37" t="str">
        <f>IFERROR(VLOOKUP($B37,$AB$4:$AP$5,15,FALSE),"")</f>
        <v/>
      </c>
      <c r="AC37" t="str">
        <f>IFERROR(VLOOKUP($B37,$AC$4:$AP$5,14,FALSE),"")</f>
        <v/>
      </c>
      <c r="AD37" t="str">
        <f>IFERROR(VLOOKUP($B37,$AD$4:$AP$5,13,FALSE),"")</f>
        <v/>
      </c>
      <c r="AE37" t="str">
        <f>IFERROR(VLOOKUP($B37,$AE$4:$AP$5,12,FALSE),"")</f>
        <v/>
      </c>
      <c r="AF37" t="str">
        <f>IFERROR(VLOOKUP($B37,$AF$4:$AP$5,11,FALSE),"")</f>
        <v/>
      </c>
      <c r="AG37" t="str">
        <f>IFERROR(VLOOKUP($B37,$AG$4:$AP$5,10,FALSE),"")</f>
        <v/>
      </c>
      <c r="AH37" t="str">
        <f>IFERROR(VLOOKUP($B37,$AH$4:$AP$5,9,FALSE),"")</f>
        <v/>
      </c>
      <c r="AI37" t="str">
        <f>IFERROR(VLOOKUP($B37,$AI$4:$AP$5,8,FALSE),"")</f>
        <v/>
      </c>
      <c r="AJ37" t="str">
        <f>IFERROR(VLOOKUP($B37,$AJ$4:$AP$5,7,FALSE),"")</f>
        <v/>
      </c>
      <c r="AK37" t="str">
        <f>IFERROR(VLOOKUP($B37,$AK$4:$AP$5,6,FALSE),"")</f>
        <v/>
      </c>
      <c r="AL37" t="str">
        <f>IFERROR(VLOOKUP($B37,$AL$4:$AP$5,5,FALSE),"")</f>
        <v/>
      </c>
      <c r="AM37" t="str">
        <f>IFERROR(VLOOKUP($B37,$AM$4:$AP$5,4,FALSE),"")</f>
        <v/>
      </c>
      <c r="AN37" t="str">
        <f>IFERROR(VLOOKUP($B37,$AN$4:$AP$5,3,FALSE),"")</f>
        <v/>
      </c>
      <c r="AO37" t="str">
        <f>IFERROR(VLOOKUP($B37,$AN$4:$AP$5,3,FALSE),"")</f>
        <v/>
      </c>
      <c r="AQ37" s="41">
        <v>26</v>
      </c>
      <c r="AR37" s="118">
        <f>Tabulka13[[#This Row],[Race no.]]</f>
        <v>23</v>
      </c>
      <c r="AS37" s="42" t="str">
        <f>Tabulka13[[#This Row],[Surname and name]]</f>
        <v>Šimon Dvořák</v>
      </c>
      <c r="AT37" s="40" t="str">
        <f>Tabulka13[[#This Row],[Team]]</f>
        <v>Dacom Pharma Kyjov</v>
      </c>
      <c r="AU37" s="40">
        <f>Tabulka13[[#This Row],[UCI ID]]</f>
        <v>10112046401</v>
      </c>
      <c r="AV37" s="36" t="e">
        <f>#REF!</f>
        <v>#REF!</v>
      </c>
      <c r="AW37" s="36" t="e">
        <f>#REF!</f>
        <v>#REF!</v>
      </c>
      <c r="AX37">
        <f>Tabulka13[[#This Row],[Body_bod]]</f>
        <v>-40</v>
      </c>
    </row>
    <row r="38" spans="1:50" ht="15.75">
      <c r="A38" s="14" t="s">
        <v>83</v>
      </c>
      <c r="B38" s="44">
        <v>3</v>
      </c>
      <c r="C38" s="15">
        <v>10047326280</v>
      </c>
      <c r="D38" s="16" t="s">
        <v>343</v>
      </c>
      <c r="E38" s="17" t="s">
        <v>344</v>
      </c>
      <c r="F38" s="18" t="s">
        <v>345</v>
      </c>
      <c r="G38" s="49" t="str">
        <f>IFERROR(VLOOKUP(Tabulka13[[#This Row],[Race no.]],Vylučovačka!D:E,2,FALSE),"x")</f>
        <v>x</v>
      </c>
      <c r="H38" s="20">
        <f>IFERROR(VLOOKUP(G38,List1!B:C,2,FALSE),0)</f>
        <v>0</v>
      </c>
      <c r="I38" s="22">
        <f>SUM(L38:X38)</f>
        <v>0</v>
      </c>
      <c r="J38" s="50" t="str">
        <f>IFERROR(VLOOKUP(Tabulka13[[#This Row],[Race no.]],Bodovacka!D:E,2,FALSE),"x")</f>
        <v>x</v>
      </c>
      <c r="K38" s="22">
        <f>SUM(Y38:AO38)</f>
        <v>0</v>
      </c>
      <c r="L38" s="23" t="str">
        <f>IFERROR(VLOOKUP($B38,$L$2:$X$5,13,FALSE),"")</f>
        <v/>
      </c>
      <c r="M38" s="23" t="str">
        <f>IFERROR(VLOOKUP($B38,$M$2:$X$5,12,FALSE),"")</f>
        <v/>
      </c>
      <c r="N38" s="23" t="str">
        <f>IFERROR(VLOOKUP($B38,$N$2:$X$5,11,FALSE),"")</f>
        <v/>
      </c>
      <c r="O38" s="23" t="str">
        <f>IFERROR(VLOOKUP($B38,$O$2:$X$5,10,FALSE),"")</f>
        <v/>
      </c>
      <c r="P38" s="23" t="str">
        <f>IFERROR(VLOOKUP($B38,$P$2:$X$5,9,FALSE),"")</f>
        <v/>
      </c>
      <c r="Q38" s="23" t="str">
        <f>IFERROR(VLOOKUP($B38,$Q$2:$X$5,8,FALSE),"")</f>
        <v/>
      </c>
      <c r="R38" s="23" t="str">
        <f>IFERROR(VLOOKUP($B38,$R$2:$X$5,7,FALSE),"")</f>
        <v/>
      </c>
      <c r="S38" s="23" t="str">
        <f>IFERROR(VLOOKUP($B38,$S$2:$X$5,7,FALSE),"")</f>
        <v/>
      </c>
      <c r="T38" s="23" t="str">
        <f>IFERROR(VLOOKUP($B38,$R$2:$X$5,7,FALSE),"")</f>
        <v/>
      </c>
      <c r="U38" s="23" t="str">
        <f>IFERROR(VLOOKUP($B38,$R$2:$X$5,7,FALSE),"")</f>
        <v/>
      </c>
      <c r="V38" s="23" t="str">
        <f>IFERROR(VLOOKUP($B38,$R$2:$X$5,7,FALSE),"")</f>
        <v/>
      </c>
      <c r="W38" s="23" t="str">
        <f>IFERROR(VLOOKUP($B38,$W$2:$X$5,2,FALSE)*2,"")</f>
        <v/>
      </c>
      <c r="X38" s="23"/>
      <c r="Y38" s="113" t="str">
        <f>IFERROR(VLOOKUP($B38,$Y$4:$AP$5,18,FALSE),"")</f>
        <v/>
      </c>
      <c r="Z38" s="114" t="str">
        <f>IFERROR(VLOOKUP($B38,$Z$4:$AP$5,17,FALSE),"")</f>
        <v/>
      </c>
      <c r="AA38" s="114" t="str">
        <f>IFERROR(VLOOKUP($B38,$AA$4:$AP$5,16,FALSE),"")</f>
        <v/>
      </c>
      <c r="AB38" s="114" t="str">
        <f>IFERROR(VLOOKUP($B38,$AB$4:$AP$5,15,FALSE),"")</f>
        <v/>
      </c>
      <c r="AC38" s="113" t="str">
        <f>IFERROR(VLOOKUP($B38,$AC$4:$AP$5,14,FALSE),"")</f>
        <v/>
      </c>
      <c r="AD38" s="113" t="str">
        <f>IFERROR(VLOOKUP($B38,$AD$4:$AP$5,13,FALSE),"")</f>
        <v/>
      </c>
      <c r="AE38" s="113" t="str">
        <f>IFERROR(VLOOKUP($B38,$AE$4:$AP$5,12,FALSE),"")</f>
        <v/>
      </c>
      <c r="AF38" s="113" t="str">
        <f>IFERROR(VLOOKUP($B38,$AF$4:$AP$5,11,FALSE),"")</f>
        <v/>
      </c>
      <c r="AG38" s="113" t="str">
        <f>IFERROR(VLOOKUP($B38,$AG$4:$AP$5,10,FALSE),"")</f>
        <v/>
      </c>
      <c r="AH38" s="113" t="str">
        <f>IFERROR(VLOOKUP($B38,$AH$4:$AP$5,9,FALSE),"")</f>
        <v/>
      </c>
      <c r="AI38" s="113" t="str">
        <f>IFERROR(VLOOKUP($B38,$AI$4:$AP$5,8,FALSE),"")</f>
        <v/>
      </c>
      <c r="AJ38" s="113" t="str">
        <f>IFERROR(VLOOKUP($B38,$AJ$4:$AP$5,7,FALSE),"")</f>
        <v/>
      </c>
      <c r="AK38" s="113" t="str">
        <f>IFERROR(VLOOKUP($B38,$AK$4:$AP$5,6,FALSE),"")</f>
        <v/>
      </c>
      <c r="AL38" s="113" t="str">
        <f>IFERROR(VLOOKUP($B38,$AL$4:$AP$5,5,FALSE),"")</f>
        <v/>
      </c>
      <c r="AM38" s="113" t="str">
        <f>IFERROR(VLOOKUP($B38,$AM$4:$AP$5,4,FALSE),"")</f>
        <v/>
      </c>
      <c r="AN38" s="113" t="str">
        <f>IFERROR(VLOOKUP($B38,$AN$4:$AP$5,3,FALSE),"")</f>
        <v/>
      </c>
      <c r="AO38" s="113" t="str">
        <f>IFERROR(VLOOKUP($B38,$AN$4:$AP$5,3,FALSE),"")</f>
        <v/>
      </c>
      <c r="AQ38" s="41" t="s">
        <v>83</v>
      </c>
      <c r="AR38" s="118">
        <f>Tabulka13[[#This Row],[Race no.]]</f>
        <v>3</v>
      </c>
      <c r="AS38" s="42" t="str">
        <f>Tabulka13[[#This Row],[Surname and name]]</f>
        <v>Vojtěch BEČKA</v>
      </c>
      <c r="AT38" s="40" t="str">
        <f>Tabulka13[[#This Row],[Team]]</f>
        <v>TJ STADION LOUNY</v>
      </c>
      <c r="AU38" s="40">
        <f>Tabulka13[[#This Row],[UCI ID]]</f>
        <v>10047326280</v>
      </c>
      <c r="AV38" s="36" t="e">
        <f>#REF!</f>
        <v>#REF!</v>
      </c>
      <c r="AW38" s="36" t="e">
        <f>#REF!</f>
        <v>#REF!</v>
      </c>
      <c r="AX38">
        <f>Tabulka13[[#This Row],[Body_bod]]</f>
        <v>0</v>
      </c>
    </row>
    <row r="39" spans="1:50" ht="15.75">
      <c r="A39" s="14">
        <f>RANK(Tabulka13[[#This Row],[Body_bod]],Tabulka13[Body_bod],0)</f>
        <v>10</v>
      </c>
      <c r="B39" s="44"/>
      <c r="C39" s="15"/>
      <c r="D39" s="16"/>
      <c r="E39" s="17"/>
      <c r="F39" s="18"/>
      <c r="G39" s="49" t="str">
        <f>IFERROR(VLOOKUP(Tabulka13[[#This Row],[Race no.]],Vylučovačka!D:E,2,FALSE),"x")</f>
        <v>x</v>
      </c>
      <c r="H39" s="20">
        <f>IFERROR(VLOOKUP(G39,List1!B:C,2,FALSE),0)</f>
        <v>0</v>
      </c>
      <c r="I39" s="22">
        <f>SUM(L39:X39)</f>
        <v>0</v>
      </c>
      <c r="J39" s="50" t="str">
        <f>IFERROR(VLOOKUP(Tabulka13[[#This Row],[Race no.]],Bodovacka!D:E,2,FALSE),"x")</f>
        <v>x</v>
      </c>
      <c r="K39" s="22">
        <f>SUM(Y39:AO39)</f>
        <v>0</v>
      </c>
      <c r="L39" s="23" t="str">
        <f>IFERROR(VLOOKUP($B39,$L$2:$X$5,13,FALSE),"")</f>
        <v/>
      </c>
      <c r="M39" s="23" t="str">
        <f>IFERROR(VLOOKUP($B39,$M$2:$X$5,12,FALSE),"")</f>
        <v/>
      </c>
      <c r="N39" s="23" t="str">
        <f>IFERROR(VLOOKUP($B39,$N$2:$X$5,11,FALSE),"")</f>
        <v/>
      </c>
      <c r="O39" s="23" t="str">
        <f>IFERROR(VLOOKUP($B39,$O$2:$X$5,10,FALSE),"")</f>
        <v/>
      </c>
      <c r="P39" s="23" t="str">
        <f>IFERROR(VLOOKUP($B39,$P$2:$X$5,9,FALSE),"")</f>
        <v/>
      </c>
      <c r="Q39" s="23" t="str">
        <f>IFERROR(VLOOKUP($B39,$Q$2:$X$5,8,FALSE),"")</f>
        <v/>
      </c>
      <c r="R39" s="23" t="str">
        <f>IFERROR(VLOOKUP($B39,$R$2:$X$5,7,FALSE),"")</f>
        <v/>
      </c>
      <c r="S39" s="23" t="str">
        <f>IFERROR(VLOOKUP($B39,$S$2:$X$5,7,FALSE),"")</f>
        <v/>
      </c>
      <c r="T39" s="23" t="str">
        <f>IFERROR(VLOOKUP($B39,$R$2:$X$5,7,FALSE),"")</f>
        <v/>
      </c>
      <c r="U39" s="23" t="str">
        <f>IFERROR(VLOOKUP($B39,$R$2:$X$5,7,FALSE),"")</f>
        <v/>
      </c>
      <c r="V39" s="23" t="str">
        <f>IFERROR(VLOOKUP($B39,$R$2:$X$5,7,FALSE),"")</f>
        <v/>
      </c>
      <c r="W39" s="23" t="str">
        <f>IFERROR(VLOOKUP($B39,$W$2:$X$5,2,FALSE)*2,"")</f>
        <v/>
      </c>
      <c r="X39" s="23"/>
      <c r="Y39" t="str">
        <f>IFERROR(VLOOKUP($B39,$Y$4:$AP$5,18,FALSE),"")</f>
        <v/>
      </c>
      <c r="Z39" t="str">
        <f>IFERROR(VLOOKUP($B39,$Z$4:$AP$5,17,FALSE),"")</f>
        <v/>
      </c>
      <c r="AA39" t="str">
        <f>IFERROR(VLOOKUP($B39,$AA$4:$AP$5,16,FALSE),"")</f>
        <v/>
      </c>
      <c r="AB39" t="str">
        <f>IFERROR(VLOOKUP($B39,$AB$4:$AP$5,15,FALSE),"")</f>
        <v/>
      </c>
      <c r="AC39" t="str">
        <f>IFERROR(VLOOKUP($B39,$AC$4:$AP$5,14,FALSE),"")</f>
        <v/>
      </c>
      <c r="AD39" t="str">
        <f>IFERROR(VLOOKUP($B39,$AD$4:$AP$5,13,FALSE),"")</f>
        <v/>
      </c>
      <c r="AE39" t="str">
        <f>IFERROR(VLOOKUP($B39,$AE$4:$AP$5,12,FALSE),"")</f>
        <v/>
      </c>
      <c r="AF39" t="str">
        <f>IFERROR(VLOOKUP($B39,$AF$4:$AP$5,11,FALSE),"")</f>
        <v/>
      </c>
      <c r="AG39" t="str">
        <f>IFERROR(VLOOKUP($B39,$AG$4:$AP$5,10,FALSE),"")</f>
        <v/>
      </c>
      <c r="AH39" t="str">
        <f>IFERROR(VLOOKUP($B39,$AH$4:$AP$5,9,FALSE),"")</f>
        <v/>
      </c>
      <c r="AI39" t="str">
        <f>IFERROR(VLOOKUP($B39,$AI$4:$AP$5,8,FALSE),"")</f>
        <v/>
      </c>
      <c r="AJ39" t="str">
        <f>IFERROR(VLOOKUP($B39,$AJ$4:$AP$5,7,FALSE),"")</f>
        <v/>
      </c>
      <c r="AK39" t="str">
        <f>IFERROR(VLOOKUP($B39,$AK$4:$AP$5,6,FALSE),"")</f>
        <v/>
      </c>
      <c r="AL39" t="str">
        <f>IFERROR(VLOOKUP($B39,$AL$4:$AP$5,5,FALSE),"")</f>
        <v/>
      </c>
      <c r="AM39" t="str">
        <f>IFERROR(VLOOKUP($B39,$AM$4:$AP$5,4,FALSE),"")</f>
        <v/>
      </c>
      <c r="AN39" t="str">
        <f>IFERROR(VLOOKUP($B39,$AN$4:$AP$5,3,FALSE),"")</f>
        <v/>
      </c>
      <c r="AO39" t="str">
        <f>IFERROR(VLOOKUP($B39,$AN$4:$AP$5,3,FALSE),"")</f>
        <v/>
      </c>
      <c r="AQ39" s="41"/>
      <c r="AR39" s="36"/>
      <c r="AS39" s="42"/>
      <c r="AT39" s="40"/>
      <c r="AU39" s="40"/>
      <c r="AV39" s="36"/>
      <c r="AW39" s="36"/>
    </row>
    <row r="40" spans="1:50">
      <c r="A40" s="24" t="s">
        <v>79</v>
      </c>
      <c r="B40" s="24"/>
      <c r="C40" s="24"/>
      <c r="D40" s="24">
        <f>COUNT(Tabulka13[Race no.])</f>
        <v>27</v>
      </c>
      <c r="E40" s="24"/>
      <c r="F40" s="25"/>
      <c r="G40" s="27"/>
      <c r="H40" s="27"/>
      <c r="AQ40" t="s">
        <v>387</v>
      </c>
      <c r="AT40" s="54">
        <v>30</v>
      </c>
    </row>
    <row r="41" spans="1:50">
      <c r="AQ41" t="s">
        <v>386</v>
      </c>
      <c r="AT41" s="117">
        <v>0.7993055555555556</v>
      </c>
    </row>
    <row r="42" spans="1:50">
      <c r="AQ42" t="s">
        <v>80</v>
      </c>
      <c r="AT42" s="54">
        <f>D40</f>
        <v>27</v>
      </c>
    </row>
  </sheetData>
  <mergeCells count="11">
    <mergeCell ref="AV6:AW6"/>
    <mergeCell ref="A1:H1"/>
    <mergeCell ref="A3:D3"/>
    <mergeCell ref="G3:H3"/>
    <mergeCell ref="A4:H4"/>
    <mergeCell ref="AQ4:AX4"/>
    <mergeCell ref="G6:H6"/>
    <mergeCell ref="L6:W6"/>
    <mergeCell ref="Y6:AO6"/>
    <mergeCell ref="I6:J6"/>
    <mergeCell ref="AS5:AT5"/>
  </mergeCells>
  <phoneticPr fontId="23" type="noConversion"/>
  <pageMargins left="0.7" right="0.7" top="0.75" bottom="0.75" header="0.51180555555555496" footer="0.51180555555555496"/>
  <pageSetup paperSize="9" firstPageNumber="0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42C19-414C-4EB7-8E73-B0ACF8FA613F}">
  <sheetPr>
    <pageSetUpPr fitToPage="1"/>
  </sheetPr>
  <dimension ref="A1:BJ32"/>
  <sheetViews>
    <sheetView zoomScale="85" zoomScaleNormal="85" workbookViewId="0">
      <pane xSplit="5" ySplit="11" topLeftCell="Q12" activePane="bottomRight" state="frozen"/>
      <selection pane="topRight"/>
      <selection pane="bottomLeft"/>
      <selection pane="bottomRight" activeCell="AW30" sqref="AW30"/>
    </sheetView>
  </sheetViews>
  <sheetFormatPr defaultRowHeight="15" outlineLevelRow="1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0.140625" style="1" customWidth="1"/>
    <col min="9" max="17" width="12.140625" customWidth="1"/>
    <col min="18" max="29" width="6.28515625" hidden="1" customWidth="1" outlineLevel="1"/>
    <col min="30" max="30" width="11.140625" customWidth="1" collapsed="1"/>
    <col min="31" max="47" width="5.140625" customWidth="1" outlineLevel="1"/>
    <col min="48" max="48" width="5.140625" customWidth="1"/>
    <col min="49" max="49" width="7" customWidth="1"/>
    <col min="50" max="50" width="5.42578125" customWidth="1"/>
    <col min="51" max="51" width="18.28515625" customWidth="1"/>
    <col min="52" max="52" width="21" customWidth="1"/>
    <col min="53" max="53" width="8.42578125" customWidth="1"/>
    <col min="54" max="54" width="5.5703125" customWidth="1"/>
    <col min="55" max="55" width="4.85546875" customWidth="1"/>
    <col min="56" max="56" width="4.42578125" customWidth="1"/>
    <col min="57" max="58" width="4.5703125" customWidth="1"/>
    <col min="59" max="59" width="4.85546875" customWidth="1"/>
    <col min="60" max="60" width="5.5703125" customWidth="1"/>
    <col min="61" max="61" width="5.140625" customWidth="1"/>
    <col min="62" max="62" width="7.85546875" customWidth="1"/>
    <col min="63" max="1028" width="8.85546875" customWidth="1"/>
  </cols>
  <sheetData>
    <row r="1" spans="1:62" s="2" customFormat="1" ht="43.5" customHeight="1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AD1" s="2" t="s">
        <v>93</v>
      </c>
      <c r="AV1" s="2" t="s">
        <v>94</v>
      </c>
    </row>
    <row r="2" spans="1:62">
      <c r="C2" s="1"/>
      <c r="I2" s="3"/>
      <c r="J2" s="3"/>
      <c r="K2" s="3"/>
      <c r="L2" s="3"/>
      <c r="M2" s="3"/>
      <c r="N2" s="3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52">
        <v>5</v>
      </c>
    </row>
    <row r="3" spans="1:62">
      <c r="A3" s="96" t="s">
        <v>84</v>
      </c>
      <c r="B3" s="96"/>
      <c r="C3" s="96"/>
      <c r="D3" s="96"/>
      <c r="F3" s="4"/>
      <c r="G3" s="4"/>
      <c r="H3" s="4"/>
      <c r="I3" s="97" t="s">
        <v>1</v>
      </c>
      <c r="J3" s="97"/>
      <c r="K3" s="97"/>
      <c r="L3" s="97"/>
      <c r="M3" s="97"/>
      <c r="N3" s="97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52">
        <v>3</v>
      </c>
      <c r="AW3" t="str">
        <f>A3</f>
        <v>Datum / Date: 19. 4. 2022</v>
      </c>
      <c r="BE3" t="str">
        <f>I3</f>
        <v>Místo konání / Place: Brno</v>
      </c>
    </row>
    <row r="4" spans="1:62" ht="21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52">
        <v>2</v>
      </c>
      <c r="AE4" s="51">
        <v>174</v>
      </c>
      <c r="AF4" s="46">
        <v>180</v>
      </c>
      <c r="AG4" s="46">
        <v>180</v>
      </c>
      <c r="AH4" s="46">
        <v>187</v>
      </c>
      <c r="AI4" s="46">
        <v>187</v>
      </c>
      <c r="AJ4" s="46">
        <v>187</v>
      </c>
      <c r="AK4" s="46">
        <v>180</v>
      </c>
      <c r="AL4" s="46">
        <v>187</v>
      </c>
      <c r="AM4" s="46">
        <v>187</v>
      </c>
      <c r="AN4" s="46">
        <v>190</v>
      </c>
      <c r="AO4" s="46">
        <v>185</v>
      </c>
      <c r="AP4" s="46">
        <v>185</v>
      </c>
      <c r="AQ4" s="46">
        <v>188</v>
      </c>
      <c r="AR4" s="46">
        <v>185</v>
      </c>
      <c r="AS4" s="46">
        <v>188</v>
      </c>
      <c r="AT4" s="46">
        <v>185</v>
      </c>
      <c r="AU4" s="46">
        <v>174</v>
      </c>
      <c r="AV4" s="52">
        <v>2</v>
      </c>
      <c r="AW4" s="99" t="str">
        <f>A4</f>
        <v>Výsledková listina / Result list</v>
      </c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</row>
    <row r="5" spans="1:62" ht="22.5" customHeight="1">
      <c r="C5" s="1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52">
        <v>1</v>
      </c>
      <c r="AE5" s="51">
        <v>146</v>
      </c>
      <c r="AF5" s="46">
        <v>178</v>
      </c>
      <c r="AG5" s="46">
        <v>177</v>
      </c>
      <c r="AH5" s="46">
        <v>174</v>
      </c>
      <c r="AI5" s="46">
        <v>174</v>
      </c>
      <c r="AJ5" s="46">
        <v>174</v>
      </c>
      <c r="AK5" s="46">
        <v>187</v>
      </c>
      <c r="AL5" s="46">
        <v>180</v>
      </c>
      <c r="AM5" s="46">
        <v>182</v>
      </c>
      <c r="AN5" s="46">
        <v>171</v>
      </c>
      <c r="AO5" s="46">
        <v>188</v>
      </c>
      <c r="AP5" s="46">
        <v>188</v>
      </c>
      <c r="AQ5" s="46">
        <v>185</v>
      </c>
      <c r="AR5" s="46">
        <v>188</v>
      </c>
      <c r="AS5" s="46">
        <v>185</v>
      </c>
      <c r="AT5" s="46">
        <v>188</v>
      </c>
      <c r="AU5" s="46">
        <v>187</v>
      </c>
      <c r="AV5" s="52">
        <v>1</v>
      </c>
    </row>
    <row r="6" spans="1:62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35" t="s">
        <v>9</v>
      </c>
      <c r="H6" s="94" t="s">
        <v>10</v>
      </c>
      <c r="I6" s="94"/>
      <c r="J6" s="101" t="s">
        <v>11</v>
      </c>
      <c r="K6" s="101"/>
      <c r="L6" s="101"/>
      <c r="M6" s="101" t="s">
        <v>12</v>
      </c>
      <c r="N6" s="101"/>
      <c r="O6" s="102" t="s">
        <v>13</v>
      </c>
      <c r="P6" s="103"/>
      <c r="Q6" s="34" t="str">
        <f>J6</f>
        <v>Prvenství</v>
      </c>
      <c r="R6" s="94" t="s">
        <v>14</v>
      </c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34" t="s">
        <v>15</v>
      </c>
      <c r="AE6" s="102" t="s">
        <v>16</v>
      </c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3"/>
      <c r="AV6" s="53"/>
      <c r="AW6" s="5" t="s">
        <v>3</v>
      </c>
      <c r="AX6" s="5" t="s">
        <v>4</v>
      </c>
      <c r="AY6" s="5" t="s">
        <v>6</v>
      </c>
      <c r="AZ6" s="5" t="s">
        <v>7</v>
      </c>
      <c r="BA6" s="5" t="s">
        <v>8</v>
      </c>
      <c r="BB6" s="35" t="s">
        <v>9</v>
      </c>
      <c r="BC6" s="94" t="s">
        <v>10</v>
      </c>
      <c r="BD6" s="94"/>
      <c r="BE6" s="101" t="s">
        <v>11</v>
      </c>
      <c r="BF6" s="101"/>
      <c r="BG6" s="101"/>
      <c r="BH6" s="101" t="s">
        <v>17</v>
      </c>
      <c r="BI6" s="101"/>
      <c r="BJ6" s="34" t="s">
        <v>18</v>
      </c>
    </row>
    <row r="7" spans="1:62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7" t="s">
        <v>24</v>
      </c>
      <c r="H7" s="34" t="s">
        <v>25</v>
      </c>
      <c r="I7" s="34" t="s">
        <v>9</v>
      </c>
      <c r="J7" s="34" t="s">
        <v>25</v>
      </c>
      <c r="K7" s="34" t="s">
        <v>90</v>
      </c>
      <c r="L7" s="34" t="s">
        <v>9</v>
      </c>
      <c r="M7" s="34" t="s">
        <v>25</v>
      </c>
      <c r="N7" s="34" t="s">
        <v>9</v>
      </c>
      <c r="O7" s="34" t="s">
        <v>9</v>
      </c>
      <c r="P7" s="34" t="s">
        <v>92</v>
      </c>
      <c r="Q7" s="34" t="s">
        <v>26</v>
      </c>
      <c r="R7" s="34">
        <v>1</v>
      </c>
      <c r="S7" s="34">
        <v>2</v>
      </c>
      <c r="T7" s="34">
        <v>3</v>
      </c>
      <c r="U7" s="34">
        <v>4</v>
      </c>
      <c r="V7" s="34">
        <v>5</v>
      </c>
      <c r="W7" s="34">
        <v>6</v>
      </c>
      <c r="X7" s="34">
        <v>7</v>
      </c>
      <c r="Y7" s="34">
        <v>8</v>
      </c>
      <c r="Z7" s="34">
        <v>9</v>
      </c>
      <c r="AA7" s="34">
        <v>10</v>
      </c>
      <c r="AB7" s="34">
        <v>11</v>
      </c>
      <c r="AC7" s="47" t="s">
        <v>87</v>
      </c>
      <c r="AD7" s="34" t="s">
        <v>27</v>
      </c>
      <c r="AE7" s="28">
        <v>1</v>
      </c>
      <c r="AF7" s="28">
        <v>2</v>
      </c>
      <c r="AG7" s="28">
        <v>3</v>
      </c>
      <c r="AH7" s="28">
        <v>4</v>
      </c>
      <c r="AI7" s="28">
        <v>5</v>
      </c>
      <c r="AJ7" s="28">
        <v>6</v>
      </c>
      <c r="AK7" s="28">
        <v>7</v>
      </c>
      <c r="AL7" s="28">
        <v>8</v>
      </c>
      <c r="AM7" s="28">
        <v>9</v>
      </c>
      <c r="AN7" s="28">
        <v>10</v>
      </c>
      <c r="AO7" s="28">
        <v>11</v>
      </c>
      <c r="AP7" s="28">
        <v>12</v>
      </c>
      <c r="AQ7" s="28">
        <v>13</v>
      </c>
      <c r="AR7" s="28">
        <v>14</v>
      </c>
      <c r="AS7" s="28">
        <v>15</v>
      </c>
      <c r="AT7" s="28">
        <v>16</v>
      </c>
      <c r="AU7" s="28">
        <v>17</v>
      </c>
      <c r="AV7" s="53"/>
      <c r="AW7" s="6" t="s">
        <v>19</v>
      </c>
      <c r="AX7" s="6" t="s">
        <v>20</v>
      </c>
      <c r="AY7" s="6" t="s">
        <v>21</v>
      </c>
      <c r="AZ7" s="6" t="s">
        <v>22</v>
      </c>
      <c r="BA7" s="6" t="s">
        <v>23</v>
      </c>
      <c r="BB7" s="7" t="s">
        <v>24</v>
      </c>
      <c r="BC7" s="34" t="s">
        <v>25</v>
      </c>
      <c r="BD7" s="34" t="s">
        <v>9</v>
      </c>
      <c r="BE7" s="34" t="s">
        <v>25</v>
      </c>
      <c r="BF7" s="34" t="s">
        <v>26</v>
      </c>
      <c r="BG7" s="34" t="s">
        <v>28</v>
      </c>
      <c r="BH7" s="34" t="s">
        <v>25</v>
      </c>
      <c r="BI7" s="34" t="s">
        <v>26</v>
      </c>
      <c r="BJ7" s="34" t="s">
        <v>9</v>
      </c>
    </row>
    <row r="8" spans="1:62" ht="11.25" customHeight="1">
      <c r="C8" s="1"/>
    </row>
    <row r="9" spans="1:62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AW9" s="37"/>
      <c r="AX9" s="37"/>
      <c r="AY9" s="37"/>
      <c r="AZ9" s="37"/>
      <c r="BA9" s="39" t="str">
        <f>F9</f>
        <v>Skupina 5</v>
      </c>
      <c r="BB9" s="37"/>
      <c r="BC9" s="37"/>
      <c r="BD9" s="37"/>
      <c r="BE9" s="37"/>
      <c r="BF9" s="37"/>
      <c r="BG9" s="37"/>
      <c r="BH9" s="37"/>
      <c r="BI9" s="37"/>
      <c r="BJ9" s="37"/>
    </row>
    <row r="10" spans="1:62" ht="16.5" hidden="1" customHeight="1">
      <c r="A10" s="9"/>
      <c r="B10" s="9"/>
      <c r="C10" s="10"/>
      <c r="D10" s="10"/>
      <c r="E10" s="10"/>
      <c r="F10" s="10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3">
        <v>1</v>
      </c>
      <c r="S10" s="13">
        <v>2</v>
      </c>
      <c r="T10" s="13">
        <v>3</v>
      </c>
      <c r="U10" s="13">
        <v>4</v>
      </c>
      <c r="V10" s="13">
        <v>5</v>
      </c>
      <c r="W10" s="13">
        <v>6</v>
      </c>
      <c r="X10" s="13">
        <v>7</v>
      </c>
      <c r="Y10" s="13">
        <v>8</v>
      </c>
      <c r="Z10" s="13">
        <v>9</v>
      </c>
      <c r="AA10" s="13">
        <v>10</v>
      </c>
      <c r="AB10" s="13">
        <v>11</v>
      </c>
      <c r="AC10" s="13">
        <v>12</v>
      </c>
      <c r="AD10" s="13" t="s">
        <v>27</v>
      </c>
    </row>
    <row r="11" spans="1:62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2" t="s">
        <v>24</v>
      </c>
      <c r="H11" s="32" t="s">
        <v>29</v>
      </c>
      <c r="I11" s="33" t="s">
        <v>30</v>
      </c>
      <c r="J11" s="33" t="s">
        <v>31</v>
      </c>
      <c r="K11" s="33" t="s">
        <v>89</v>
      </c>
      <c r="L11" s="33" t="s">
        <v>32</v>
      </c>
      <c r="M11" s="33" t="s">
        <v>33</v>
      </c>
      <c r="N11" s="33" t="s">
        <v>34</v>
      </c>
      <c r="O11" s="33" t="s">
        <v>35</v>
      </c>
      <c r="P11" s="33" t="s">
        <v>91</v>
      </c>
      <c r="Q11" s="33" t="s">
        <v>36</v>
      </c>
      <c r="R11" s="13" t="s">
        <v>37</v>
      </c>
      <c r="S11" s="13" t="s">
        <v>38</v>
      </c>
      <c r="T11" s="13" t="s">
        <v>39</v>
      </c>
      <c r="U11" s="13" t="s">
        <v>40</v>
      </c>
      <c r="V11" s="13" t="s">
        <v>41</v>
      </c>
      <c r="W11" s="13" t="s">
        <v>42</v>
      </c>
      <c r="X11" s="13" t="s">
        <v>43</v>
      </c>
      <c r="Y11" s="13" t="s">
        <v>44</v>
      </c>
      <c r="Z11" s="13" t="s">
        <v>45</v>
      </c>
      <c r="AA11" s="13" t="s">
        <v>46</v>
      </c>
      <c r="AB11" s="13" t="s">
        <v>47</v>
      </c>
      <c r="AC11" s="13" t="s">
        <v>48</v>
      </c>
      <c r="AD11" s="13" t="s">
        <v>49</v>
      </c>
      <c r="AE11" t="s">
        <v>50</v>
      </c>
      <c r="AF11" t="s">
        <v>51</v>
      </c>
      <c r="AG11" t="s">
        <v>52</v>
      </c>
      <c r="AH11" t="s">
        <v>53</v>
      </c>
      <c r="AI11" t="s">
        <v>54</v>
      </c>
      <c r="AJ11" t="s">
        <v>55</v>
      </c>
      <c r="AK11" t="s">
        <v>56</v>
      </c>
      <c r="AL11" t="s">
        <v>57</v>
      </c>
      <c r="AM11" t="s">
        <v>58</v>
      </c>
      <c r="AN11" t="s">
        <v>59</v>
      </c>
      <c r="AO11" t="s">
        <v>60</v>
      </c>
      <c r="AP11" t="s">
        <v>61</v>
      </c>
      <c r="AQ11" t="s">
        <v>62</v>
      </c>
      <c r="AR11" t="s">
        <v>63</v>
      </c>
      <c r="AS11" t="s">
        <v>64</v>
      </c>
      <c r="AT11" t="s">
        <v>65</v>
      </c>
      <c r="AU11" t="s">
        <v>66</v>
      </c>
      <c r="AV11" t="s">
        <v>88</v>
      </c>
      <c r="AW11" s="38" t="s">
        <v>67</v>
      </c>
      <c r="AX11" s="38" t="s">
        <v>68</v>
      </c>
      <c r="AY11" s="38" t="s">
        <v>69</v>
      </c>
      <c r="AZ11" s="38" t="s">
        <v>70</v>
      </c>
      <c r="BA11" s="38" t="s">
        <v>71</v>
      </c>
      <c r="BB11" s="38" t="s">
        <v>72</v>
      </c>
      <c r="BC11" s="38" t="s">
        <v>25</v>
      </c>
      <c r="BD11" s="38" t="s">
        <v>9</v>
      </c>
      <c r="BE11" s="38" t="s">
        <v>73</v>
      </c>
      <c r="BF11" s="38" t="s">
        <v>74</v>
      </c>
      <c r="BG11" s="38" t="s">
        <v>75</v>
      </c>
      <c r="BH11" s="38" t="s">
        <v>76</v>
      </c>
      <c r="BI11" s="38" t="s">
        <v>77</v>
      </c>
      <c r="BJ11" s="38" t="s">
        <v>78</v>
      </c>
    </row>
    <row r="12" spans="1:62" ht="15" customHeight="1">
      <c r="A12" s="14">
        <f>RANK(Tabulka134[[#This Row],[celkem]],Tabulka134[celkem],0)</f>
        <v>3</v>
      </c>
      <c r="B12" s="44">
        <v>174</v>
      </c>
      <c r="C12" s="15">
        <v>2004</v>
      </c>
      <c r="D12" s="16" t="s">
        <v>299</v>
      </c>
      <c r="E12" s="17" t="s">
        <v>300</v>
      </c>
      <c r="F12" s="18" t="s">
        <v>111</v>
      </c>
      <c r="G12" s="19">
        <f t="shared" ref="G12:G29" si="0">SUM(I12+L12+N12+O12)</f>
        <v>36</v>
      </c>
      <c r="H12" s="48" t="str">
        <f>IFERROR(VLOOKUP(Tabulka134[[#This Row],[Race no.]],Scrarch!D:E,2,FALSE),"x")</f>
        <v>x</v>
      </c>
      <c r="I12" s="20">
        <f>IFERROR(VLOOKUP(H12,List1!B:C,2,FALSE),0)</f>
        <v>0</v>
      </c>
      <c r="J12" s="21">
        <v>3</v>
      </c>
      <c r="K12" s="49" t="str">
        <f>IFERROR(VLOOKUP(Tabulka134[[#This Row],[Race no.]],Prvenstvi!D:E,2,FALSE),"x")</f>
        <v>x</v>
      </c>
      <c r="L12" s="20">
        <f>IFERROR(VLOOKUP(J12,List1!B:C,2,FALSE),0)</f>
        <v>36</v>
      </c>
      <c r="M12" s="49" t="str">
        <f>IFERROR(VLOOKUP(Tabulka134[[#This Row],[Race no.]],Vylučovačka!D:E,2,FALSE),"x")</f>
        <v>x</v>
      </c>
      <c r="N12" s="20">
        <f>IFERROR(VLOOKUP(M12,List1!B:C,2,FALSE),0)</f>
        <v>0</v>
      </c>
      <c r="O12" s="22">
        <f t="shared" ref="O12:O29" si="1">SUM(R12:AD12)</f>
        <v>0</v>
      </c>
      <c r="P12" s="50" t="str">
        <f>IFERROR(VLOOKUP(Tabulka134[[#This Row],[Race no.]],Bodovacka!D:E,2,FALSE),"x")</f>
        <v>x</v>
      </c>
      <c r="Q12" s="22">
        <f t="shared" ref="Q12:Q29" si="2">SUM(AE12:AU12)</f>
        <v>9</v>
      </c>
      <c r="R12" s="23" t="str">
        <f t="shared" ref="R12:R29" si="3">IFERROR(VLOOKUP($B12,$R$2:$AD$5,13,FALSE),"")</f>
        <v/>
      </c>
      <c r="S12" s="23" t="str">
        <f t="shared" ref="S12:S29" si="4">IFERROR(VLOOKUP($B12,$S$2:$AD$5,12,FALSE),"")</f>
        <v/>
      </c>
      <c r="T12" s="23" t="str">
        <f t="shared" ref="T12:T29" si="5">IFERROR(VLOOKUP($B12,$T$2:$AD$5,11,FALSE),"")</f>
        <v/>
      </c>
      <c r="U12" s="23" t="str">
        <f t="shared" ref="U12:U29" si="6">IFERROR(VLOOKUP($B12,$U$2:$AD$5,10,FALSE),"")</f>
        <v/>
      </c>
      <c r="V12" s="23" t="str">
        <f t="shared" ref="V12:V29" si="7">IFERROR(VLOOKUP($B12,$V$2:$AD$5,9,FALSE),"")</f>
        <v/>
      </c>
      <c r="W12" s="23" t="str">
        <f t="shared" ref="W12:W29" si="8">IFERROR(VLOOKUP($B12,$W$2:$AD$5,8,FALSE),"")</f>
        <v/>
      </c>
      <c r="X12" s="23" t="str">
        <f t="shared" ref="X12:X29" si="9">IFERROR(VLOOKUP($B12,$X$2:$AD$5,7,FALSE),"")</f>
        <v/>
      </c>
      <c r="Y12" s="23" t="str">
        <f t="shared" ref="Y12:Y29" si="10">IFERROR(VLOOKUP($B12,$Y$2:$AD$5,6,FALSE),"")</f>
        <v/>
      </c>
      <c r="Z12" s="23" t="str">
        <f t="shared" ref="Z12:Z29" si="11">IFERROR(VLOOKUP($B12,$Z$2:$AD$5,5,FALSE),"")</f>
        <v/>
      </c>
      <c r="AA12" s="23" t="str">
        <f t="shared" ref="AA12:AA29" si="12">IFERROR(VLOOKUP($B12,$AA$2:$AD$5,4,FALSE),"")</f>
        <v/>
      </c>
      <c r="AB12" s="23" t="str">
        <f t="shared" ref="AB12:AB29" si="13">IFERROR(VLOOKUP($B12,$AB$2:$AD$5,3,FALSE),"")</f>
        <v/>
      </c>
      <c r="AC12" s="23"/>
      <c r="AD12" s="23"/>
      <c r="AE12" s="56">
        <f t="shared" ref="AE12:AE29" si="14">IFERROR(VLOOKUP($B12,$AE$4:$AV$5,18,FALSE),"")</f>
        <v>2</v>
      </c>
      <c r="AF12" s="56" t="str">
        <f t="shared" ref="AF12:AF29" si="15">IFERROR(VLOOKUP($B12,$AF$4:$AV$5,17,FALSE),"")</f>
        <v/>
      </c>
      <c r="AG12" s="56" t="str">
        <f t="shared" ref="AG12:AG29" si="16">IFERROR(VLOOKUP($B12,$AG$4:$AV$5,16,FALSE),"")</f>
        <v/>
      </c>
      <c r="AH12" s="56">
        <f t="shared" ref="AH12:AH29" si="17">IFERROR(VLOOKUP($B12,$AH$4:$AV$5,15,FALSE),"")</f>
        <v>1</v>
      </c>
      <c r="AI12" s="56">
        <f t="shared" ref="AI12:AI29" si="18">IFERROR(VLOOKUP($B12,$AI$4:$AV$5,14,FALSE),"")</f>
        <v>1</v>
      </c>
      <c r="AJ12" s="56">
        <f t="shared" ref="AJ12:AJ29" si="19">IFERROR(VLOOKUP($B12,$AJ$4:$AV$5,13,FALSE),"")</f>
        <v>1</v>
      </c>
      <c r="AK12" s="56" t="str">
        <f t="shared" ref="AK12:AK29" si="20">IFERROR(VLOOKUP($B12,$AK$4:$AV$5,12,FALSE),"")</f>
        <v/>
      </c>
      <c r="AL12" s="56" t="str">
        <f t="shared" ref="AL12:AL29" si="21">IFERROR(VLOOKUP($B12,$AL$4:$AV$5,11,FALSE),"")</f>
        <v/>
      </c>
      <c r="AM12" s="56" t="str">
        <f t="shared" ref="AM12:AM29" si="22">IFERROR(VLOOKUP($B12,$AM$4:$AV$5,10,FALSE),"")</f>
        <v/>
      </c>
      <c r="AN12" s="56" t="str">
        <f t="shared" ref="AN12:AN29" si="23">IFERROR(VLOOKUP($B12,$AN$4:$AV$5,9,FALSE),"")</f>
        <v/>
      </c>
      <c r="AO12" s="56" t="str">
        <f t="shared" ref="AO12:AO29" si="24">IFERROR(VLOOKUP($B12,$AO$4:$AV$5,8,FALSE),"")</f>
        <v/>
      </c>
      <c r="AP12" s="56" t="str">
        <f t="shared" ref="AP12:AP29" si="25">IFERROR(VLOOKUP($B12,$AP$4:$AV$5,7,FALSE),"")</f>
        <v/>
      </c>
      <c r="AQ12" s="56" t="str">
        <f t="shared" ref="AQ12:AQ29" si="26">IFERROR(VLOOKUP($B12,$AQ$4:$AV$5,6,FALSE),"")</f>
        <v/>
      </c>
      <c r="AR12" s="56" t="str">
        <f t="shared" ref="AR12:AR29" si="27">IFERROR(VLOOKUP($B12,$AR$4:$AV$5,5,FALSE),"")</f>
        <v/>
      </c>
      <c r="AS12" s="56" t="str">
        <f t="shared" ref="AS12:AS29" si="28">IFERROR(VLOOKUP($B12,$AS$4:$AV$5,4,FALSE),"")</f>
        <v/>
      </c>
      <c r="AT12" s="56" t="str">
        <f t="shared" ref="AT12:AT29" si="29">IFERROR(VLOOKUP($B12,$AT$4:$AV$5,3,FALSE),"")</f>
        <v/>
      </c>
      <c r="AU12" s="56">
        <v>4</v>
      </c>
      <c r="AW12" s="41">
        <f>Tabulka134[[#This Row],[Rank]]</f>
        <v>3</v>
      </c>
      <c r="AX12" s="36">
        <f>Tabulka134[[#This Row],[Race no.]]</f>
        <v>174</v>
      </c>
      <c r="AY12" s="42" t="str">
        <f>Tabulka134[[#This Row],[Surname and name]]</f>
        <v xml:space="preserve">Vajbar Jakub </v>
      </c>
      <c r="AZ12" s="40" t="str">
        <f>Tabulka134[[#This Row],[Team]]</f>
        <v>Dukla Brno</v>
      </c>
      <c r="BA12" s="40" t="str">
        <f>Tabulka134[[#This Row],[Category]]</f>
        <v>Junioři</v>
      </c>
      <c r="BB12" s="45">
        <f>Tabulka134[[#This Row],[celkem]]</f>
        <v>36</v>
      </c>
      <c r="BC12" s="36" t="str">
        <f>Tabulka134[[#This Row],[pořadíSC]]</f>
        <v>x</v>
      </c>
      <c r="BD12" s="36">
        <f>Tabulka134[[#This Row],[bodySC]]</f>
        <v>0</v>
      </c>
      <c r="BE12" s="36">
        <f>Tabulka134[[#This Row],[pořadíPRV]]</f>
        <v>3</v>
      </c>
      <c r="BF12" s="36">
        <f>Tabulka134[[#This Row],[BodyPRV]]</f>
        <v>36</v>
      </c>
      <c r="BG12" s="36">
        <f>Tabulka134[[#This Row],[Body_prv]]</f>
        <v>9</v>
      </c>
      <c r="BH12" t="str">
        <f>Tabulka134[[#This Row],[PoradíVyl]]</f>
        <v>x</v>
      </c>
      <c r="BI12">
        <f>Tabulka134[[#This Row],[Body_vyl]]</f>
        <v>0</v>
      </c>
      <c r="BJ12">
        <f>Tabulka134[[#This Row],[Body_vyl]]</f>
        <v>0</v>
      </c>
    </row>
    <row r="13" spans="1:62" ht="15" customHeight="1">
      <c r="A13" s="14">
        <f>RANK(Tabulka134[[#This Row],[celkem]],Tabulka134[celkem],0)</f>
        <v>2</v>
      </c>
      <c r="B13" s="44">
        <v>185</v>
      </c>
      <c r="C13" s="15">
        <v>2004</v>
      </c>
      <c r="D13" s="16" t="s">
        <v>307</v>
      </c>
      <c r="E13" s="17" t="s">
        <v>165</v>
      </c>
      <c r="F13" s="18" t="s">
        <v>111</v>
      </c>
      <c r="G13" s="19">
        <f t="shared" si="0"/>
        <v>38</v>
      </c>
      <c r="H13" s="48" t="str">
        <f>IFERROR(VLOOKUP(Tabulka134[[#This Row],[Race no.]],Scrarch!D:E,2,FALSE),"x")</f>
        <v>x</v>
      </c>
      <c r="I13" s="20">
        <f>IFERROR(VLOOKUP(H13,List1!B:C,2,FALSE),0)</f>
        <v>0</v>
      </c>
      <c r="J13" s="21">
        <v>2</v>
      </c>
      <c r="K13" s="49" t="str">
        <f>IFERROR(VLOOKUP(Tabulka134[[#This Row],[Race no.]],Prvenstvi!D:E,2,FALSE),"x")</f>
        <v>x</v>
      </c>
      <c r="L13" s="20">
        <f>IFERROR(VLOOKUP(J13,List1!B:C,2,FALSE),0)</f>
        <v>38</v>
      </c>
      <c r="M13" s="49" t="str">
        <f>IFERROR(VLOOKUP(Tabulka134[[#This Row],[Race no.]],Vylučovačka!D:E,2,FALSE),"x")</f>
        <v>x</v>
      </c>
      <c r="N13" s="20">
        <f>IFERROR(VLOOKUP(M13,List1!B:C,2,FALSE),0)</f>
        <v>0</v>
      </c>
      <c r="O13" s="22">
        <f t="shared" si="1"/>
        <v>0</v>
      </c>
      <c r="P13" s="50" t="str">
        <f>IFERROR(VLOOKUP(Tabulka134[[#This Row],[Race no.]],Bodovacka!D:E,2,FALSE),"x")</f>
        <v>x</v>
      </c>
      <c r="Q13" s="22">
        <f t="shared" si="2"/>
        <v>10</v>
      </c>
      <c r="R13" s="23" t="str">
        <f t="shared" si="3"/>
        <v/>
      </c>
      <c r="S13" s="23" t="str">
        <f t="shared" si="4"/>
        <v/>
      </c>
      <c r="T13" s="23" t="str">
        <f t="shared" si="5"/>
        <v/>
      </c>
      <c r="U13" s="23" t="str">
        <f t="shared" si="6"/>
        <v/>
      </c>
      <c r="V13" s="23" t="str">
        <f t="shared" si="7"/>
        <v/>
      </c>
      <c r="W13" s="23" t="str">
        <f t="shared" si="8"/>
        <v/>
      </c>
      <c r="X13" s="23" t="str">
        <f t="shared" si="9"/>
        <v/>
      </c>
      <c r="Y13" s="23" t="str">
        <f t="shared" si="10"/>
        <v/>
      </c>
      <c r="Z13" s="23" t="str">
        <f t="shared" si="11"/>
        <v/>
      </c>
      <c r="AA13" s="23" t="str">
        <f t="shared" si="12"/>
        <v/>
      </c>
      <c r="AB13" s="23" t="str">
        <f t="shared" si="13"/>
        <v/>
      </c>
      <c r="AC13" s="23" t="str">
        <f t="shared" ref="AC13:AC29" si="30">IFERROR(VLOOKUP($B13,$AC$2:$AD$5,2,FALSE)*2,"")</f>
        <v/>
      </c>
      <c r="AD13" s="23"/>
      <c r="AE13" t="str">
        <f t="shared" si="14"/>
        <v/>
      </c>
      <c r="AF13" s="29" t="str">
        <f t="shared" si="15"/>
        <v/>
      </c>
      <c r="AG13" s="29" t="str">
        <f t="shared" si="16"/>
        <v/>
      </c>
      <c r="AH13" s="29" t="str">
        <f t="shared" si="17"/>
        <v/>
      </c>
      <c r="AI13" t="str">
        <f t="shared" si="18"/>
        <v/>
      </c>
      <c r="AJ13" t="str">
        <f t="shared" si="19"/>
        <v/>
      </c>
      <c r="AK13" t="str">
        <f t="shared" si="20"/>
        <v/>
      </c>
      <c r="AL13" t="str">
        <f t="shared" si="21"/>
        <v/>
      </c>
      <c r="AM13" t="str">
        <f t="shared" si="22"/>
        <v/>
      </c>
      <c r="AN13" t="str">
        <f t="shared" si="23"/>
        <v/>
      </c>
      <c r="AO13">
        <f t="shared" si="24"/>
        <v>2</v>
      </c>
      <c r="AP13">
        <f t="shared" si="25"/>
        <v>2</v>
      </c>
      <c r="AQ13">
        <f t="shared" si="26"/>
        <v>1</v>
      </c>
      <c r="AR13">
        <f t="shared" si="27"/>
        <v>2</v>
      </c>
      <c r="AS13">
        <f t="shared" si="28"/>
        <v>1</v>
      </c>
      <c r="AT13">
        <f t="shared" si="29"/>
        <v>2</v>
      </c>
      <c r="AU13" t="str">
        <f>IFERROR(VLOOKUP($B13,$AU$4:$AV$5,2,FALSE),"")</f>
        <v/>
      </c>
      <c r="AW13" s="41">
        <f>Tabulka134[[#This Row],[Rank]]</f>
        <v>2</v>
      </c>
      <c r="AX13" s="36">
        <f>Tabulka134[[#This Row],[Race no.]]</f>
        <v>185</v>
      </c>
      <c r="AY13" s="42" t="str">
        <f>Tabulka134[[#This Row],[Surname and name]]</f>
        <v>KULHA Filip</v>
      </c>
      <c r="AZ13" s="40" t="str">
        <f>Tabulka134[[#This Row],[Team]]</f>
        <v>TJ Favorit Brno</v>
      </c>
      <c r="BA13" s="40" t="str">
        <f>Tabulka134[[#This Row],[Category]]</f>
        <v>Junioři</v>
      </c>
      <c r="BB13" s="45">
        <f>Tabulka134[[#This Row],[celkem]]</f>
        <v>38</v>
      </c>
      <c r="BC13" s="36" t="str">
        <f>Tabulka134[[#This Row],[pořadíSC]]</f>
        <v>x</v>
      </c>
      <c r="BD13" s="36">
        <f>Tabulka134[[#This Row],[bodySC]]</f>
        <v>0</v>
      </c>
      <c r="BE13" s="36">
        <f>Tabulka134[[#This Row],[pořadíPRV]]</f>
        <v>2</v>
      </c>
      <c r="BF13" s="36">
        <f>Tabulka134[[#This Row],[BodyPRV]]</f>
        <v>38</v>
      </c>
      <c r="BG13" s="36">
        <f>Tabulka134[[#This Row],[Body_prv]]</f>
        <v>10</v>
      </c>
      <c r="BH13" t="str">
        <f>Tabulka134[[#This Row],[PoradíVyl]]</f>
        <v>x</v>
      </c>
      <c r="BI13">
        <f>Tabulka134[[#This Row],[Body_vyl]]</f>
        <v>0</v>
      </c>
      <c r="BJ13">
        <f>Tabulka134[[#This Row],[Body_vyl]]</f>
        <v>0</v>
      </c>
    </row>
    <row r="14" spans="1:62" ht="15" customHeight="1">
      <c r="A14" s="14">
        <f>RANK(Tabulka134[[#This Row],[celkem]],Tabulka134[celkem],0)</f>
        <v>1</v>
      </c>
      <c r="B14" s="44">
        <v>187</v>
      </c>
      <c r="C14" s="15">
        <v>2004</v>
      </c>
      <c r="D14" s="16" t="s">
        <v>314</v>
      </c>
      <c r="E14" s="17" t="s">
        <v>315</v>
      </c>
      <c r="F14" s="18" t="s">
        <v>111</v>
      </c>
      <c r="G14" s="19">
        <f t="shared" si="0"/>
        <v>40</v>
      </c>
      <c r="H14" s="48" t="str">
        <f>IFERROR(VLOOKUP(Tabulka134[[#This Row],[Race no.]],Scrarch!D:E,2,FALSE),"x")</f>
        <v>x</v>
      </c>
      <c r="I14" s="20">
        <f>IFERROR(VLOOKUP(H14,List1!B:C,2,FALSE),0)</f>
        <v>0</v>
      </c>
      <c r="J14" s="21">
        <v>1</v>
      </c>
      <c r="K14" s="49" t="str">
        <f>IFERROR(VLOOKUP(Tabulka134[[#This Row],[Race no.]],Prvenstvi!D:E,2,FALSE),"x")</f>
        <v>x</v>
      </c>
      <c r="L14" s="20">
        <f>IFERROR(VLOOKUP(J14,List1!B:C,2,FALSE),0)</f>
        <v>40</v>
      </c>
      <c r="M14" s="49" t="str">
        <f>IFERROR(VLOOKUP(Tabulka134[[#This Row],[Race no.]],Vylučovačka!D:E,2,FALSE),"x")</f>
        <v>x</v>
      </c>
      <c r="N14" s="20">
        <f>IFERROR(VLOOKUP(M14,List1!B:C,2,FALSE),0)</f>
        <v>0</v>
      </c>
      <c r="O14" s="22">
        <f t="shared" si="1"/>
        <v>0</v>
      </c>
      <c r="P14" s="50" t="str">
        <f>IFERROR(VLOOKUP(Tabulka134[[#This Row],[Race no.]],Bodovacka!D:E,2,FALSE),"x")</f>
        <v>x</v>
      </c>
      <c r="Q14" s="22">
        <f t="shared" si="2"/>
        <v>13</v>
      </c>
      <c r="R14" s="23" t="str">
        <f t="shared" si="3"/>
        <v/>
      </c>
      <c r="S14" s="23" t="str">
        <f t="shared" si="4"/>
        <v/>
      </c>
      <c r="T14" s="23" t="str">
        <f t="shared" si="5"/>
        <v/>
      </c>
      <c r="U14" s="23" t="str">
        <f t="shared" si="6"/>
        <v/>
      </c>
      <c r="V14" s="23" t="str">
        <f t="shared" si="7"/>
        <v/>
      </c>
      <c r="W14" s="23" t="str">
        <f t="shared" si="8"/>
        <v/>
      </c>
      <c r="X14" s="23" t="str">
        <f t="shared" si="9"/>
        <v/>
      </c>
      <c r="Y14" s="23" t="str">
        <f t="shared" si="10"/>
        <v/>
      </c>
      <c r="Z14" s="23" t="str">
        <f t="shared" si="11"/>
        <v/>
      </c>
      <c r="AA14" s="23" t="str">
        <f t="shared" si="12"/>
        <v/>
      </c>
      <c r="AB14" s="23" t="str">
        <f t="shared" si="13"/>
        <v/>
      </c>
      <c r="AC14" s="23" t="str">
        <f t="shared" si="30"/>
        <v/>
      </c>
      <c r="AD14" s="23"/>
      <c r="AE14" t="str">
        <f t="shared" si="14"/>
        <v/>
      </c>
      <c r="AF14" t="str">
        <f t="shared" si="15"/>
        <v/>
      </c>
      <c r="AG14" t="str">
        <f t="shared" si="16"/>
        <v/>
      </c>
      <c r="AH14">
        <f t="shared" si="17"/>
        <v>2</v>
      </c>
      <c r="AI14">
        <f t="shared" si="18"/>
        <v>2</v>
      </c>
      <c r="AJ14">
        <f t="shared" si="19"/>
        <v>2</v>
      </c>
      <c r="AK14">
        <f t="shared" si="20"/>
        <v>1</v>
      </c>
      <c r="AL14">
        <f t="shared" si="21"/>
        <v>2</v>
      </c>
      <c r="AM14">
        <f t="shared" si="22"/>
        <v>2</v>
      </c>
      <c r="AN14" t="str">
        <f t="shared" si="23"/>
        <v/>
      </c>
      <c r="AO14" t="str">
        <f t="shared" si="24"/>
        <v/>
      </c>
      <c r="AP14" t="str">
        <f t="shared" si="25"/>
        <v/>
      </c>
      <c r="AQ14" t="str">
        <f t="shared" si="26"/>
        <v/>
      </c>
      <c r="AR14" t="str">
        <f t="shared" si="27"/>
        <v/>
      </c>
      <c r="AS14" t="str">
        <f t="shared" si="28"/>
        <v/>
      </c>
      <c r="AT14" t="str">
        <f t="shared" si="29"/>
        <v/>
      </c>
      <c r="AU14">
        <v>2</v>
      </c>
      <c r="AW14" s="41">
        <f>Tabulka134[[#This Row],[Rank]]</f>
        <v>1</v>
      </c>
      <c r="AX14" s="36">
        <f>Tabulka134[[#This Row],[Race no.]]</f>
        <v>187</v>
      </c>
      <c r="AY14" s="42" t="str">
        <f>Tabulka134[[#This Row],[Surname and name]]</f>
        <v xml:space="preserve">KOKAS Raphael </v>
      </c>
      <c r="AZ14" s="40" t="str">
        <f>Tabulka134[[#This Row],[Team]]</f>
        <v xml:space="preserve">RC Donaustadt  </v>
      </c>
      <c r="BA14" s="40" t="str">
        <f>Tabulka134[[#This Row],[Category]]</f>
        <v>Junioři</v>
      </c>
      <c r="BB14" s="45">
        <f>Tabulka134[[#This Row],[celkem]]</f>
        <v>40</v>
      </c>
      <c r="BC14" s="36" t="str">
        <f>Tabulka134[[#This Row],[pořadíSC]]</f>
        <v>x</v>
      </c>
      <c r="BD14" s="36">
        <f>Tabulka134[[#This Row],[bodySC]]</f>
        <v>0</v>
      </c>
      <c r="BE14" s="36">
        <f>Tabulka134[[#This Row],[pořadíPRV]]</f>
        <v>1</v>
      </c>
      <c r="BF14" s="36">
        <f>Tabulka134[[#This Row],[BodyPRV]]</f>
        <v>40</v>
      </c>
      <c r="BG14" s="36">
        <f>Tabulka134[[#This Row],[Body_prv]]</f>
        <v>13</v>
      </c>
      <c r="BH14" t="str">
        <f>Tabulka134[[#This Row],[PoradíVyl]]</f>
        <v>x</v>
      </c>
      <c r="BI14">
        <f>Tabulka134[[#This Row],[Body_vyl]]</f>
        <v>0</v>
      </c>
      <c r="BJ14">
        <f>Tabulka134[[#This Row],[Body_vyl]]</f>
        <v>0</v>
      </c>
    </row>
    <row r="15" spans="1:62" ht="15" customHeight="1">
      <c r="A15" s="14">
        <f>RANK(Tabulka134[[#This Row],[celkem]],Tabulka134[celkem],0)</f>
        <v>7</v>
      </c>
      <c r="B15" s="44">
        <v>182</v>
      </c>
      <c r="C15" s="15">
        <v>2005</v>
      </c>
      <c r="D15" s="16" t="s">
        <v>306</v>
      </c>
      <c r="E15" s="17" t="s">
        <v>110</v>
      </c>
      <c r="F15" s="18" t="s">
        <v>111</v>
      </c>
      <c r="G15" s="19">
        <f t="shared" si="0"/>
        <v>28</v>
      </c>
      <c r="H15" s="48" t="str">
        <f>IFERROR(VLOOKUP(Tabulka134[[#This Row],[Race no.]],Scrarch!D:E,2,FALSE),"x")</f>
        <v>x</v>
      </c>
      <c r="I15" s="20">
        <f>IFERROR(VLOOKUP(H15,List1!B:C,2,FALSE),0)</f>
        <v>0</v>
      </c>
      <c r="J15" s="21">
        <v>7</v>
      </c>
      <c r="K15" s="49" t="str">
        <f>IFERROR(VLOOKUP(Tabulka134[[#This Row],[Race no.]],Prvenstvi!D:E,2,FALSE),"x")</f>
        <v>x</v>
      </c>
      <c r="L15" s="20">
        <f>IFERROR(VLOOKUP(J15,List1!B:C,2,FALSE),0)</f>
        <v>28</v>
      </c>
      <c r="M15" s="49" t="str">
        <f>IFERROR(VLOOKUP(Tabulka134[[#This Row],[Race no.]],Vylučovačka!D:E,2,FALSE),"x")</f>
        <v>x</v>
      </c>
      <c r="N15" s="20">
        <f>IFERROR(VLOOKUP(M15,List1!B:C,2,FALSE),0)</f>
        <v>0</v>
      </c>
      <c r="O15" s="22">
        <f t="shared" si="1"/>
        <v>0</v>
      </c>
      <c r="P15" s="50" t="str">
        <f>IFERROR(VLOOKUP(Tabulka134[[#This Row],[Race no.]],Bodovacka!D:E,2,FALSE),"x")</f>
        <v>x</v>
      </c>
      <c r="Q15" s="22">
        <f t="shared" si="2"/>
        <v>1</v>
      </c>
      <c r="R15" s="23" t="str">
        <f t="shared" si="3"/>
        <v/>
      </c>
      <c r="S15" s="23" t="str">
        <f t="shared" si="4"/>
        <v/>
      </c>
      <c r="T15" s="23" t="str">
        <f t="shared" si="5"/>
        <v/>
      </c>
      <c r="U15" s="23" t="str">
        <f t="shared" si="6"/>
        <v/>
      </c>
      <c r="V15" s="23" t="str">
        <f t="shared" si="7"/>
        <v/>
      </c>
      <c r="W15" s="23" t="str">
        <f t="shared" si="8"/>
        <v/>
      </c>
      <c r="X15" s="23" t="str">
        <f t="shared" si="9"/>
        <v/>
      </c>
      <c r="Y15" s="23" t="str">
        <f t="shared" si="10"/>
        <v/>
      </c>
      <c r="Z15" s="23" t="str">
        <f t="shared" si="11"/>
        <v/>
      </c>
      <c r="AA15" s="23" t="str">
        <f t="shared" si="12"/>
        <v/>
      </c>
      <c r="AB15" s="23" t="str">
        <f t="shared" si="13"/>
        <v/>
      </c>
      <c r="AC15" s="23" t="str">
        <f t="shared" si="30"/>
        <v/>
      </c>
      <c r="AD15" s="23"/>
      <c r="AE15" t="str">
        <f t="shared" si="14"/>
        <v/>
      </c>
      <c r="AF15" s="29" t="str">
        <f t="shared" si="15"/>
        <v/>
      </c>
      <c r="AG15" s="29" t="str">
        <f t="shared" si="16"/>
        <v/>
      </c>
      <c r="AH15" s="29" t="str">
        <f t="shared" si="17"/>
        <v/>
      </c>
      <c r="AI15" t="str">
        <f t="shared" si="18"/>
        <v/>
      </c>
      <c r="AJ15" t="str">
        <f t="shared" si="19"/>
        <v/>
      </c>
      <c r="AK15" t="str">
        <f t="shared" si="20"/>
        <v/>
      </c>
      <c r="AL15" t="str">
        <f t="shared" si="21"/>
        <v/>
      </c>
      <c r="AM15">
        <f t="shared" si="22"/>
        <v>1</v>
      </c>
      <c r="AN15" t="str">
        <f t="shared" si="23"/>
        <v/>
      </c>
      <c r="AO15" t="str">
        <f t="shared" si="24"/>
        <v/>
      </c>
      <c r="AP15" t="str">
        <f t="shared" si="25"/>
        <v/>
      </c>
      <c r="AQ15" t="str">
        <f t="shared" si="26"/>
        <v/>
      </c>
      <c r="AR15" s="56" t="str">
        <f t="shared" si="27"/>
        <v/>
      </c>
      <c r="AS15" t="str">
        <f t="shared" si="28"/>
        <v/>
      </c>
      <c r="AT15" t="str">
        <f t="shared" si="29"/>
        <v/>
      </c>
      <c r="AU15" t="str">
        <f t="shared" ref="AU15:AU29" si="31">IFERROR(VLOOKUP($B15,$AU$4:$AV$5,2,FALSE),"")</f>
        <v/>
      </c>
      <c r="AW15" s="41">
        <f>Tabulka134[[#This Row],[Rank]]</f>
        <v>7</v>
      </c>
      <c r="AX15" s="36">
        <f>Tabulka134[[#This Row],[Race no.]]</f>
        <v>182</v>
      </c>
      <c r="AY15" s="42" t="str">
        <f>Tabulka134[[#This Row],[Surname and name]]</f>
        <v>HAĽAK Adam</v>
      </c>
      <c r="AZ15" s="40" t="str">
        <f>Tabulka134[[#This Row],[Team]]</f>
        <v>ŠK Železiarne Podbrezová, a.s</v>
      </c>
      <c r="BA15" s="40" t="str">
        <f>Tabulka134[[#This Row],[Category]]</f>
        <v>Junioři</v>
      </c>
      <c r="BB15" s="45">
        <f>Tabulka134[[#This Row],[celkem]]</f>
        <v>28</v>
      </c>
      <c r="BC15" s="36" t="str">
        <f>Tabulka134[[#This Row],[pořadíSC]]</f>
        <v>x</v>
      </c>
      <c r="BD15" s="36">
        <f>Tabulka134[[#This Row],[bodySC]]</f>
        <v>0</v>
      </c>
      <c r="BE15" s="36">
        <f>Tabulka134[[#This Row],[pořadíPRV]]</f>
        <v>7</v>
      </c>
      <c r="BF15" s="36">
        <f>Tabulka134[[#This Row],[BodyPRV]]</f>
        <v>28</v>
      </c>
      <c r="BG15" s="36">
        <f>Tabulka134[[#This Row],[Body_prv]]</f>
        <v>1</v>
      </c>
      <c r="BH15" t="str">
        <f>Tabulka134[[#This Row],[PoradíVyl]]</f>
        <v>x</v>
      </c>
      <c r="BI15">
        <f>Tabulka134[[#This Row],[Body_vyl]]</f>
        <v>0</v>
      </c>
      <c r="BJ15">
        <f>Tabulka134[[#This Row],[Body_vyl]]</f>
        <v>0</v>
      </c>
    </row>
    <row r="16" spans="1:62" ht="15" customHeight="1">
      <c r="A16" s="14">
        <f>RANK(Tabulka134[[#This Row],[celkem]],Tabulka134[celkem],0)</f>
        <v>6</v>
      </c>
      <c r="B16" s="44">
        <v>190</v>
      </c>
      <c r="C16" s="15">
        <v>2005</v>
      </c>
      <c r="D16" s="16" t="s">
        <v>311</v>
      </c>
      <c r="E16" s="17" t="s">
        <v>165</v>
      </c>
      <c r="F16" s="18" t="s">
        <v>111</v>
      </c>
      <c r="G16" s="19">
        <f t="shared" si="0"/>
        <v>30</v>
      </c>
      <c r="H16" s="48" t="str">
        <f>IFERROR(VLOOKUP(Tabulka134[[#This Row],[Race no.]],Scrarch!D:E,2,FALSE),"x")</f>
        <v>x</v>
      </c>
      <c r="I16" s="20">
        <f>IFERROR(VLOOKUP(H16,List1!B:C,2,FALSE),0)</f>
        <v>0</v>
      </c>
      <c r="J16" s="21">
        <v>6</v>
      </c>
      <c r="K16" s="49" t="str">
        <f>IFERROR(VLOOKUP(Tabulka134[[#This Row],[Race no.]],Prvenstvi!D:E,2,FALSE),"x")</f>
        <v>x</v>
      </c>
      <c r="L16" s="20">
        <f>IFERROR(VLOOKUP(J16,List1!B:C,2,FALSE),0)</f>
        <v>30</v>
      </c>
      <c r="M16" s="49" t="str">
        <f>IFERROR(VLOOKUP(Tabulka134[[#This Row],[Race no.]],Vylučovačka!D:E,2,FALSE),"x")</f>
        <v>x</v>
      </c>
      <c r="N16" s="20">
        <f>IFERROR(VLOOKUP(M16,List1!B:C,2,FALSE),0)</f>
        <v>0</v>
      </c>
      <c r="O16" s="22">
        <f t="shared" si="1"/>
        <v>0</v>
      </c>
      <c r="P16" s="50" t="str">
        <f>IFERROR(VLOOKUP(Tabulka134[[#This Row],[Race no.]],Bodovacka!D:E,2,FALSE),"x")</f>
        <v>x</v>
      </c>
      <c r="Q16" s="22">
        <f t="shared" si="2"/>
        <v>2</v>
      </c>
      <c r="R16" s="23" t="str">
        <f t="shared" si="3"/>
        <v/>
      </c>
      <c r="S16" s="23" t="str">
        <f t="shared" si="4"/>
        <v/>
      </c>
      <c r="T16" s="23" t="str">
        <f t="shared" si="5"/>
        <v/>
      </c>
      <c r="U16" s="23" t="str">
        <f t="shared" si="6"/>
        <v/>
      </c>
      <c r="V16" s="23" t="str">
        <f t="shared" si="7"/>
        <v/>
      </c>
      <c r="W16" s="23" t="str">
        <f t="shared" si="8"/>
        <v/>
      </c>
      <c r="X16" s="23" t="str">
        <f t="shared" si="9"/>
        <v/>
      </c>
      <c r="Y16" s="23" t="str">
        <f t="shared" si="10"/>
        <v/>
      </c>
      <c r="Z16" s="23" t="str">
        <f t="shared" si="11"/>
        <v/>
      </c>
      <c r="AA16" s="23" t="str">
        <f t="shared" si="12"/>
        <v/>
      </c>
      <c r="AB16" s="23" t="str">
        <f t="shared" si="13"/>
        <v/>
      </c>
      <c r="AC16" s="23" t="str">
        <f t="shared" si="30"/>
        <v/>
      </c>
      <c r="AD16" s="23"/>
      <c r="AE16" t="str">
        <f t="shared" si="14"/>
        <v/>
      </c>
      <c r="AF16" t="str">
        <f t="shared" si="15"/>
        <v/>
      </c>
      <c r="AG16" t="str">
        <f t="shared" si="16"/>
        <v/>
      </c>
      <c r="AH16" t="str">
        <f t="shared" si="17"/>
        <v/>
      </c>
      <c r="AI16" t="str">
        <f t="shared" si="18"/>
        <v/>
      </c>
      <c r="AJ16" t="str">
        <f t="shared" si="19"/>
        <v/>
      </c>
      <c r="AK16" t="str">
        <f t="shared" si="20"/>
        <v/>
      </c>
      <c r="AL16" t="str">
        <f t="shared" si="21"/>
        <v/>
      </c>
      <c r="AM16" t="str">
        <f t="shared" si="22"/>
        <v/>
      </c>
      <c r="AN16">
        <f t="shared" si="23"/>
        <v>2</v>
      </c>
      <c r="AO16" t="str">
        <f t="shared" si="24"/>
        <v/>
      </c>
      <c r="AP16" t="str">
        <f t="shared" si="25"/>
        <v/>
      </c>
      <c r="AQ16" t="str">
        <f t="shared" si="26"/>
        <v/>
      </c>
      <c r="AR16" t="str">
        <f t="shared" si="27"/>
        <v/>
      </c>
      <c r="AS16" t="str">
        <f t="shared" si="28"/>
        <v/>
      </c>
      <c r="AT16" t="str">
        <f t="shared" si="29"/>
        <v/>
      </c>
      <c r="AU16" t="str">
        <f t="shared" si="31"/>
        <v/>
      </c>
      <c r="AW16" s="41">
        <v>4</v>
      </c>
      <c r="AX16" s="36">
        <f>Tabulka134[[#This Row],[Race no.]]</f>
        <v>190</v>
      </c>
      <c r="AY16" s="42" t="str">
        <f>Tabulka134[[#This Row],[Surname and name]]</f>
        <v>MUROŇ Matyáš</v>
      </c>
      <c r="AZ16" s="40" t="str">
        <f>Tabulka134[[#This Row],[Team]]</f>
        <v>TJ Favorit Brno</v>
      </c>
      <c r="BA16" s="40" t="str">
        <f>Tabulka134[[#This Row],[Category]]</f>
        <v>Junioři</v>
      </c>
      <c r="BB16" s="45">
        <f>Tabulka134[[#This Row],[celkem]]</f>
        <v>30</v>
      </c>
      <c r="BC16" s="36" t="str">
        <f>Tabulka134[[#This Row],[pořadíSC]]</f>
        <v>x</v>
      </c>
      <c r="BD16" s="36">
        <f>Tabulka134[[#This Row],[bodySC]]</f>
        <v>0</v>
      </c>
      <c r="BE16" s="36">
        <f>Tabulka134[[#This Row],[pořadíPRV]]</f>
        <v>6</v>
      </c>
      <c r="BF16" s="36">
        <f>Tabulka134[[#This Row],[BodyPRV]]</f>
        <v>30</v>
      </c>
      <c r="BG16" s="36">
        <f>Tabulka134[[#This Row],[Body_prv]]</f>
        <v>2</v>
      </c>
      <c r="BH16" t="str">
        <f>Tabulka134[[#This Row],[PoradíVyl]]</f>
        <v>x</v>
      </c>
      <c r="BI16">
        <f>Tabulka134[[#This Row],[Body_vyl]]</f>
        <v>0</v>
      </c>
      <c r="BJ16">
        <f>Tabulka134[[#This Row],[Body_vyl]]</f>
        <v>0</v>
      </c>
    </row>
    <row r="17" spans="1:62" ht="15" customHeight="1">
      <c r="A17" s="14">
        <f>RANK(Tabulka134[[#This Row],[celkem]],Tabulka134[celkem],0)</f>
        <v>11</v>
      </c>
      <c r="B17" s="44">
        <v>195</v>
      </c>
      <c r="C17" s="15">
        <v>2002</v>
      </c>
      <c r="D17" s="16" t="s">
        <v>317</v>
      </c>
      <c r="E17" s="17" t="s">
        <v>165</v>
      </c>
      <c r="F17" s="18" t="s">
        <v>318</v>
      </c>
      <c r="G17" s="19">
        <f t="shared" si="0"/>
        <v>20</v>
      </c>
      <c r="H17" s="48" t="str">
        <f>IFERROR(VLOOKUP(Tabulka134[[#This Row],[Race no.]],Scrarch!D:E,2,FALSE),"x")</f>
        <v>x</v>
      </c>
      <c r="I17" s="20">
        <f>IFERROR(VLOOKUP(H17,List1!B:C,2,FALSE),0)</f>
        <v>0</v>
      </c>
      <c r="J17" s="21">
        <v>11</v>
      </c>
      <c r="K17" s="49" t="str">
        <f>IFERROR(VLOOKUP(Tabulka134[[#This Row],[Race no.]],Prvenstvi!D:E,2,FALSE),"x")</f>
        <v>x</v>
      </c>
      <c r="L17" s="20">
        <f>IFERROR(VLOOKUP(J17,List1!B:C,2,FALSE),0)</f>
        <v>20</v>
      </c>
      <c r="M17" s="49" t="str">
        <f>IFERROR(VLOOKUP(Tabulka134[[#This Row],[Race no.]],Vylučovačka!D:E,2,FALSE),"x")</f>
        <v>x</v>
      </c>
      <c r="N17" s="20">
        <f>IFERROR(VLOOKUP(M17,List1!B:C,2,FALSE),0)</f>
        <v>0</v>
      </c>
      <c r="O17" s="22">
        <f t="shared" si="1"/>
        <v>0</v>
      </c>
      <c r="P17" s="50" t="str">
        <f>IFERROR(VLOOKUP(Tabulka134[[#This Row],[Race no.]],Bodovacka!D:E,2,FALSE),"x")</f>
        <v>x</v>
      </c>
      <c r="Q17" s="22">
        <f t="shared" si="2"/>
        <v>0</v>
      </c>
      <c r="R17" s="23" t="str">
        <f t="shared" si="3"/>
        <v/>
      </c>
      <c r="S17" s="23" t="str">
        <f t="shared" si="4"/>
        <v/>
      </c>
      <c r="T17" s="23" t="str">
        <f t="shared" si="5"/>
        <v/>
      </c>
      <c r="U17" s="23" t="str">
        <f t="shared" si="6"/>
        <v/>
      </c>
      <c r="V17" s="23" t="str">
        <f t="shared" si="7"/>
        <v/>
      </c>
      <c r="W17" s="23" t="str">
        <f t="shared" si="8"/>
        <v/>
      </c>
      <c r="X17" s="23" t="str">
        <f t="shared" si="9"/>
        <v/>
      </c>
      <c r="Y17" s="23" t="str">
        <f t="shared" si="10"/>
        <v/>
      </c>
      <c r="Z17" s="23" t="str">
        <f t="shared" si="11"/>
        <v/>
      </c>
      <c r="AA17" s="23" t="str">
        <f t="shared" si="12"/>
        <v/>
      </c>
      <c r="AB17" s="23" t="str">
        <f t="shared" si="13"/>
        <v/>
      </c>
      <c r="AC17" s="23" t="str">
        <f t="shared" si="30"/>
        <v/>
      </c>
      <c r="AD17" s="23"/>
      <c r="AE17" t="str">
        <f t="shared" si="14"/>
        <v/>
      </c>
      <c r="AF17" t="str">
        <f t="shared" si="15"/>
        <v/>
      </c>
      <c r="AG17" t="str">
        <f t="shared" si="16"/>
        <v/>
      </c>
      <c r="AH17" t="str">
        <f t="shared" si="17"/>
        <v/>
      </c>
      <c r="AI17" t="str">
        <f t="shared" si="18"/>
        <v/>
      </c>
      <c r="AJ17" t="str">
        <f t="shared" si="19"/>
        <v/>
      </c>
      <c r="AK17" t="str">
        <f t="shared" si="20"/>
        <v/>
      </c>
      <c r="AL17" t="str">
        <f t="shared" si="21"/>
        <v/>
      </c>
      <c r="AM17" t="str">
        <f t="shared" si="22"/>
        <v/>
      </c>
      <c r="AN17" t="str">
        <f t="shared" si="23"/>
        <v/>
      </c>
      <c r="AO17" t="str">
        <f t="shared" si="24"/>
        <v/>
      </c>
      <c r="AP17" t="str">
        <f t="shared" si="25"/>
        <v/>
      </c>
      <c r="AQ17" t="str">
        <f t="shared" si="26"/>
        <v/>
      </c>
      <c r="AR17" t="str">
        <f t="shared" si="27"/>
        <v/>
      </c>
      <c r="AS17" t="str">
        <f t="shared" si="28"/>
        <v/>
      </c>
      <c r="AT17" t="str">
        <f t="shared" si="29"/>
        <v/>
      </c>
      <c r="AU17" t="str">
        <f t="shared" si="31"/>
        <v/>
      </c>
      <c r="AW17" s="41">
        <v>4</v>
      </c>
      <c r="AX17" s="36">
        <f>Tabulka134[[#This Row],[Race no.]]</f>
        <v>195</v>
      </c>
      <c r="AY17" s="42" t="str">
        <f>Tabulka134[[#This Row],[Surname and name]]</f>
        <v>Čekal Josef</v>
      </c>
      <c r="AZ17" s="40" t="str">
        <f>Tabulka134[[#This Row],[Team]]</f>
        <v>TJ Favorit Brno</v>
      </c>
      <c r="BA17" s="40" t="str">
        <f>Tabulka134[[#This Row],[Category]]</f>
        <v>Muž U23</v>
      </c>
      <c r="BB17" s="45">
        <f>Tabulka134[[#This Row],[celkem]]</f>
        <v>20</v>
      </c>
      <c r="BC17" s="36" t="str">
        <f>Tabulka134[[#This Row],[pořadíSC]]</f>
        <v>x</v>
      </c>
      <c r="BD17" s="36">
        <f>Tabulka134[[#This Row],[bodySC]]</f>
        <v>0</v>
      </c>
      <c r="BE17" s="36">
        <f>Tabulka134[[#This Row],[pořadíPRV]]</f>
        <v>11</v>
      </c>
      <c r="BF17" s="36">
        <f>Tabulka134[[#This Row],[BodyPRV]]</f>
        <v>20</v>
      </c>
      <c r="BG17" s="36">
        <f>Tabulka134[[#This Row],[Body_prv]]</f>
        <v>0</v>
      </c>
      <c r="BH17" t="str">
        <f>Tabulka134[[#This Row],[PoradíVyl]]</f>
        <v>x</v>
      </c>
      <c r="BI17">
        <f>Tabulka134[[#This Row],[Body_vyl]]</f>
        <v>0</v>
      </c>
      <c r="BJ17">
        <f>Tabulka134[[#This Row],[Body_vyl]]</f>
        <v>0</v>
      </c>
    </row>
    <row r="18" spans="1:62" ht="15" customHeight="1">
      <c r="A18" s="14">
        <f>RANK(Tabulka134[[#This Row],[celkem]],Tabulka134[celkem],0)</f>
        <v>12</v>
      </c>
      <c r="B18" s="44">
        <v>191</v>
      </c>
      <c r="C18" s="15">
        <v>2005</v>
      </c>
      <c r="D18" s="16" t="s">
        <v>312</v>
      </c>
      <c r="E18" s="17" t="s">
        <v>165</v>
      </c>
      <c r="F18" s="18" t="s">
        <v>111</v>
      </c>
      <c r="G18" s="19">
        <f t="shared" si="0"/>
        <v>18</v>
      </c>
      <c r="H18" s="48" t="str">
        <f>IFERROR(VLOOKUP(Tabulka134[[#This Row],[Race no.]],Scrarch!D:E,2,FALSE),"x")</f>
        <v>x</v>
      </c>
      <c r="I18" s="20">
        <f>IFERROR(VLOOKUP(H18,List1!B:C,2,FALSE),0)</f>
        <v>0</v>
      </c>
      <c r="J18" s="21">
        <v>12</v>
      </c>
      <c r="K18" s="49" t="str">
        <f>IFERROR(VLOOKUP(Tabulka134[[#This Row],[Race no.]],Prvenstvi!D:E,2,FALSE),"x")</f>
        <v>x</v>
      </c>
      <c r="L18" s="20">
        <f>IFERROR(VLOOKUP(J18,List1!B:C,2,FALSE),0)</f>
        <v>18</v>
      </c>
      <c r="M18" s="49" t="str">
        <f>IFERROR(VLOOKUP(Tabulka134[[#This Row],[Race no.]],Vylučovačka!D:E,2,FALSE),"x")</f>
        <v>x</v>
      </c>
      <c r="N18" s="20">
        <f>IFERROR(VLOOKUP(M18,List1!B:C,2,FALSE),0)</f>
        <v>0</v>
      </c>
      <c r="O18" s="22">
        <f t="shared" si="1"/>
        <v>0</v>
      </c>
      <c r="P18" s="50" t="str">
        <f>IFERROR(VLOOKUP(Tabulka134[[#This Row],[Race no.]],Bodovacka!D:E,2,FALSE),"x")</f>
        <v>x</v>
      </c>
      <c r="Q18" s="22">
        <f t="shared" si="2"/>
        <v>0</v>
      </c>
      <c r="R18" s="23" t="str">
        <f t="shared" si="3"/>
        <v/>
      </c>
      <c r="S18" s="23" t="str">
        <f t="shared" si="4"/>
        <v/>
      </c>
      <c r="T18" s="23" t="str">
        <f t="shared" si="5"/>
        <v/>
      </c>
      <c r="U18" s="23" t="str">
        <f t="shared" si="6"/>
        <v/>
      </c>
      <c r="V18" s="23" t="str">
        <f t="shared" si="7"/>
        <v/>
      </c>
      <c r="W18" s="23" t="str">
        <f t="shared" si="8"/>
        <v/>
      </c>
      <c r="X18" s="23" t="str">
        <f t="shared" si="9"/>
        <v/>
      </c>
      <c r="Y18" s="23" t="str">
        <f t="shared" si="10"/>
        <v/>
      </c>
      <c r="Z18" s="23" t="str">
        <f t="shared" si="11"/>
        <v/>
      </c>
      <c r="AA18" s="23" t="str">
        <f t="shared" si="12"/>
        <v/>
      </c>
      <c r="AB18" s="23" t="str">
        <f t="shared" si="13"/>
        <v/>
      </c>
      <c r="AC18" s="23" t="str">
        <f t="shared" si="30"/>
        <v/>
      </c>
      <c r="AD18" s="23"/>
      <c r="AE18" t="str">
        <f t="shared" si="14"/>
        <v/>
      </c>
      <c r="AF18" t="str">
        <f t="shared" si="15"/>
        <v/>
      </c>
      <c r="AG18" t="str">
        <f t="shared" si="16"/>
        <v/>
      </c>
      <c r="AH18" t="str">
        <f t="shared" si="17"/>
        <v/>
      </c>
      <c r="AI18" t="str">
        <f t="shared" si="18"/>
        <v/>
      </c>
      <c r="AJ18" t="str">
        <f t="shared" si="19"/>
        <v/>
      </c>
      <c r="AK18" t="str">
        <f t="shared" si="20"/>
        <v/>
      </c>
      <c r="AL18" t="str">
        <f t="shared" si="21"/>
        <v/>
      </c>
      <c r="AM18" t="str">
        <f t="shared" si="22"/>
        <v/>
      </c>
      <c r="AN18" t="str">
        <f t="shared" si="23"/>
        <v/>
      </c>
      <c r="AO18" t="str">
        <f t="shared" si="24"/>
        <v/>
      </c>
      <c r="AP18" t="str">
        <f t="shared" si="25"/>
        <v/>
      </c>
      <c r="AQ18" t="str">
        <f t="shared" si="26"/>
        <v/>
      </c>
      <c r="AR18" t="str">
        <f t="shared" si="27"/>
        <v/>
      </c>
      <c r="AS18" t="str">
        <f t="shared" si="28"/>
        <v/>
      </c>
      <c r="AT18" t="str">
        <f t="shared" si="29"/>
        <v/>
      </c>
      <c r="AU18" t="str">
        <f t="shared" si="31"/>
        <v/>
      </c>
      <c r="AW18" s="41">
        <v>5</v>
      </c>
      <c r="AX18" s="36">
        <f>Tabulka134[[#This Row],[Race no.]]</f>
        <v>191</v>
      </c>
      <c r="AY18" s="42" t="str">
        <f>Tabulka134[[#This Row],[Surname and name]]</f>
        <v>VOSTÁL Vilém</v>
      </c>
      <c r="AZ18" s="40" t="str">
        <f>Tabulka134[[#This Row],[Team]]</f>
        <v>TJ Favorit Brno</v>
      </c>
      <c r="BA18" s="40" t="str">
        <f>Tabulka134[[#This Row],[Category]]</f>
        <v>Junioři</v>
      </c>
      <c r="BB18" s="45">
        <f>Tabulka134[[#This Row],[celkem]]</f>
        <v>18</v>
      </c>
      <c r="BC18" s="36" t="str">
        <f>Tabulka134[[#This Row],[pořadíSC]]</f>
        <v>x</v>
      </c>
      <c r="BD18" s="36">
        <f>Tabulka134[[#This Row],[bodySC]]</f>
        <v>0</v>
      </c>
      <c r="BE18" s="36">
        <f>Tabulka134[[#This Row],[pořadíPRV]]</f>
        <v>12</v>
      </c>
      <c r="BF18" s="36">
        <f>Tabulka134[[#This Row],[BodyPRV]]</f>
        <v>18</v>
      </c>
      <c r="BG18" s="36">
        <f>Tabulka134[[#This Row],[Body_prv]]</f>
        <v>0</v>
      </c>
      <c r="BH18" t="str">
        <f>Tabulka134[[#This Row],[PoradíVyl]]</f>
        <v>x</v>
      </c>
      <c r="BI18">
        <f>Tabulka134[[#This Row],[Body_vyl]]</f>
        <v>0</v>
      </c>
      <c r="BJ18">
        <f>Tabulka134[[#This Row],[Body_vyl]]</f>
        <v>0</v>
      </c>
    </row>
    <row r="19" spans="1:62" ht="15" customHeight="1">
      <c r="A19" s="14">
        <f>RANK(Tabulka134[[#This Row],[celkem]],Tabulka134[celkem],0)</f>
        <v>4</v>
      </c>
      <c r="B19" s="44">
        <v>188</v>
      </c>
      <c r="C19" s="15">
        <v>2004</v>
      </c>
      <c r="D19" s="16" t="s">
        <v>309</v>
      </c>
      <c r="E19" s="17" t="s">
        <v>165</v>
      </c>
      <c r="F19" s="18" t="s">
        <v>111</v>
      </c>
      <c r="G19" s="19">
        <f t="shared" si="0"/>
        <v>34</v>
      </c>
      <c r="H19" s="48" t="str">
        <f>IFERROR(VLOOKUP(Tabulka134[[#This Row],[Race no.]],Scrarch!D:E,2,FALSE),"x")</f>
        <v>x</v>
      </c>
      <c r="I19" s="20">
        <f>IFERROR(VLOOKUP(H19,List1!B:C,2,FALSE),0)</f>
        <v>0</v>
      </c>
      <c r="J19" s="21">
        <v>4</v>
      </c>
      <c r="K19" s="49" t="str">
        <f>IFERROR(VLOOKUP(Tabulka134[[#This Row],[Race no.]],Prvenstvi!D:E,2,FALSE),"x")</f>
        <v>x</v>
      </c>
      <c r="L19" s="20">
        <f>IFERROR(VLOOKUP(J19,List1!B:C,2,FALSE),0)</f>
        <v>34</v>
      </c>
      <c r="M19" s="49" t="str">
        <f>IFERROR(VLOOKUP(Tabulka134[[#This Row],[Race no.]],Vylučovačka!D:E,2,FALSE),"x")</f>
        <v>x</v>
      </c>
      <c r="N19" s="20">
        <f>IFERROR(VLOOKUP(M19,List1!B:C,2,FALSE),0)</f>
        <v>0</v>
      </c>
      <c r="O19" s="22">
        <f t="shared" si="1"/>
        <v>0</v>
      </c>
      <c r="P19" s="50" t="str">
        <f>IFERROR(VLOOKUP(Tabulka134[[#This Row],[Race no.]],Bodovacka!D:E,2,FALSE),"x")</f>
        <v>x</v>
      </c>
      <c r="Q19" s="22">
        <f t="shared" si="2"/>
        <v>8</v>
      </c>
      <c r="R19" s="23" t="str">
        <f t="shared" si="3"/>
        <v/>
      </c>
      <c r="S19" s="23" t="str">
        <f t="shared" si="4"/>
        <v/>
      </c>
      <c r="T19" s="23" t="str">
        <f t="shared" si="5"/>
        <v/>
      </c>
      <c r="U19" s="23" t="str">
        <f t="shared" si="6"/>
        <v/>
      </c>
      <c r="V19" s="23" t="str">
        <f t="shared" si="7"/>
        <v/>
      </c>
      <c r="W19" s="23" t="str">
        <f t="shared" si="8"/>
        <v/>
      </c>
      <c r="X19" s="23" t="str">
        <f t="shared" si="9"/>
        <v/>
      </c>
      <c r="Y19" s="23" t="str">
        <f t="shared" si="10"/>
        <v/>
      </c>
      <c r="Z19" s="23" t="str">
        <f t="shared" si="11"/>
        <v/>
      </c>
      <c r="AA19" s="23" t="str">
        <f t="shared" si="12"/>
        <v/>
      </c>
      <c r="AB19" s="23" t="str">
        <f t="shared" si="13"/>
        <v/>
      </c>
      <c r="AC19" s="23" t="str">
        <f t="shared" si="30"/>
        <v/>
      </c>
      <c r="AD19" s="23"/>
      <c r="AE19" t="str">
        <f t="shared" si="14"/>
        <v/>
      </c>
      <c r="AF19" s="29" t="str">
        <f t="shared" si="15"/>
        <v/>
      </c>
      <c r="AG19" s="29" t="str">
        <f t="shared" si="16"/>
        <v/>
      </c>
      <c r="AH19" s="29" t="str">
        <f t="shared" si="17"/>
        <v/>
      </c>
      <c r="AI19" t="str">
        <f t="shared" si="18"/>
        <v/>
      </c>
      <c r="AJ19" t="str">
        <f t="shared" si="19"/>
        <v/>
      </c>
      <c r="AK19" t="str">
        <f t="shared" si="20"/>
        <v/>
      </c>
      <c r="AL19" t="str">
        <f t="shared" si="21"/>
        <v/>
      </c>
      <c r="AM19" t="str">
        <f t="shared" si="22"/>
        <v/>
      </c>
      <c r="AN19" t="str">
        <f t="shared" si="23"/>
        <v/>
      </c>
      <c r="AO19">
        <f t="shared" si="24"/>
        <v>1</v>
      </c>
      <c r="AP19">
        <f t="shared" si="25"/>
        <v>1</v>
      </c>
      <c r="AQ19">
        <f t="shared" si="26"/>
        <v>2</v>
      </c>
      <c r="AR19">
        <f t="shared" si="27"/>
        <v>1</v>
      </c>
      <c r="AS19">
        <f t="shared" si="28"/>
        <v>2</v>
      </c>
      <c r="AT19">
        <f t="shared" si="29"/>
        <v>1</v>
      </c>
      <c r="AU19" t="str">
        <f t="shared" si="31"/>
        <v/>
      </c>
      <c r="AW19" s="41">
        <v>6</v>
      </c>
      <c r="AX19" s="36">
        <f>Tabulka134[[#This Row],[Race no.]]</f>
        <v>188</v>
      </c>
      <c r="AY19" s="42" t="str">
        <f>Tabulka134[[#This Row],[Surname and name]]</f>
        <v>PADĚLEK Viktor</v>
      </c>
      <c r="AZ19" s="40" t="str">
        <f>Tabulka134[[#This Row],[Team]]</f>
        <v>TJ Favorit Brno</v>
      </c>
      <c r="BA19" s="40" t="str">
        <f>Tabulka134[[#This Row],[Category]]</f>
        <v>Junioři</v>
      </c>
      <c r="BB19" s="45">
        <f>Tabulka134[[#This Row],[celkem]]</f>
        <v>34</v>
      </c>
      <c r="BC19" s="36" t="str">
        <f>Tabulka134[[#This Row],[pořadíSC]]</f>
        <v>x</v>
      </c>
      <c r="BD19" s="36">
        <f>Tabulka134[[#This Row],[bodySC]]</f>
        <v>0</v>
      </c>
      <c r="BE19" s="36">
        <f>Tabulka134[[#This Row],[pořadíPRV]]</f>
        <v>4</v>
      </c>
      <c r="BF19" s="36">
        <f>Tabulka134[[#This Row],[BodyPRV]]</f>
        <v>34</v>
      </c>
      <c r="BG19" s="36">
        <f>Tabulka134[[#This Row],[Body_prv]]</f>
        <v>8</v>
      </c>
      <c r="BH19" t="str">
        <f>Tabulka134[[#This Row],[PoradíVyl]]</f>
        <v>x</v>
      </c>
      <c r="BI19">
        <f>Tabulka134[[#This Row],[Body_vyl]]</f>
        <v>0</v>
      </c>
      <c r="BJ19">
        <f>Tabulka134[[#This Row],[Body_vyl]]</f>
        <v>0</v>
      </c>
    </row>
    <row r="20" spans="1:62" ht="15.75">
      <c r="A20" s="14">
        <f>RANK(Tabulka134[[#This Row],[celkem]],Tabulka134[celkem],0)</f>
        <v>13</v>
      </c>
      <c r="B20" s="44">
        <v>186</v>
      </c>
      <c r="C20" s="15">
        <v>2004</v>
      </c>
      <c r="D20" s="16" t="s">
        <v>308</v>
      </c>
      <c r="E20" s="17" t="s">
        <v>165</v>
      </c>
      <c r="F20" s="18" t="s">
        <v>111</v>
      </c>
      <c r="G20" s="19">
        <f t="shared" si="0"/>
        <v>16</v>
      </c>
      <c r="H20" s="48" t="str">
        <f>IFERROR(VLOOKUP(Tabulka134[[#This Row],[Race no.]],Scrarch!D:E,2,FALSE),"x")</f>
        <v>x</v>
      </c>
      <c r="I20" s="20">
        <f>IFERROR(VLOOKUP(H20,List1!B:C,2,FALSE),0)</f>
        <v>0</v>
      </c>
      <c r="J20" s="21">
        <v>13</v>
      </c>
      <c r="K20" s="49" t="str">
        <f>IFERROR(VLOOKUP(Tabulka134[[#This Row],[Race no.]],Prvenstvi!D:E,2,FALSE),"x")</f>
        <v>x</v>
      </c>
      <c r="L20" s="20">
        <f>IFERROR(VLOOKUP(J20,List1!B:C,2,FALSE),0)</f>
        <v>16</v>
      </c>
      <c r="M20" s="49" t="str">
        <f>IFERROR(VLOOKUP(Tabulka134[[#This Row],[Race no.]],Vylučovačka!D:E,2,FALSE),"x")</f>
        <v>x</v>
      </c>
      <c r="N20" s="20">
        <f>IFERROR(VLOOKUP(M20,List1!B:C,2,FALSE),0)</f>
        <v>0</v>
      </c>
      <c r="O20" s="22">
        <f t="shared" si="1"/>
        <v>0</v>
      </c>
      <c r="P20" s="50" t="str">
        <f>IFERROR(VLOOKUP(Tabulka134[[#This Row],[Race no.]],Bodovacka!D:E,2,FALSE),"x")</f>
        <v>x</v>
      </c>
      <c r="Q20" s="22">
        <f t="shared" si="2"/>
        <v>0</v>
      </c>
      <c r="R20" s="23" t="str">
        <f t="shared" si="3"/>
        <v/>
      </c>
      <c r="S20" s="23" t="str">
        <f t="shared" si="4"/>
        <v/>
      </c>
      <c r="T20" s="23" t="str">
        <f t="shared" si="5"/>
        <v/>
      </c>
      <c r="U20" s="23" t="str">
        <f t="shared" si="6"/>
        <v/>
      </c>
      <c r="V20" s="23" t="str">
        <f t="shared" si="7"/>
        <v/>
      </c>
      <c r="W20" s="23" t="str">
        <f t="shared" si="8"/>
        <v/>
      </c>
      <c r="X20" s="23" t="str">
        <f t="shared" si="9"/>
        <v/>
      </c>
      <c r="Y20" s="23" t="str">
        <f t="shared" si="10"/>
        <v/>
      </c>
      <c r="Z20" s="23" t="str">
        <f t="shared" si="11"/>
        <v/>
      </c>
      <c r="AA20" s="23" t="str">
        <f t="shared" si="12"/>
        <v/>
      </c>
      <c r="AB20" s="23" t="str">
        <f t="shared" si="13"/>
        <v/>
      </c>
      <c r="AC20" s="23" t="str">
        <f t="shared" si="30"/>
        <v/>
      </c>
      <c r="AD20" s="23"/>
      <c r="AE20" t="str">
        <f t="shared" si="14"/>
        <v/>
      </c>
      <c r="AF20" s="29" t="str">
        <f t="shared" si="15"/>
        <v/>
      </c>
      <c r="AG20" s="29" t="str">
        <f t="shared" si="16"/>
        <v/>
      </c>
      <c r="AH20" s="29" t="str">
        <f t="shared" si="17"/>
        <v/>
      </c>
      <c r="AI20" t="str">
        <f t="shared" si="18"/>
        <v/>
      </c>
      <c r="AJ20" t="str">
        <f t="shared" si="19"/>
        <v/>
      </c>
      <c r="AK20" t="str">
        <f t="shared" si="20"/>
        <v/>
      </c>
      <c r="AL20" t="str">
        <f t="shared" si="21"/>
        <v/>
      </c>
      <c r="AM20" t="str">
        <f t="shared" si="22"/>
        <v/>
      </c>
      <c r="AN20" t="str">
        <f t="shared" si="23"/>
        <v/>
      </c>
      <c r="AO20" t="str">
        <f t="shared" si="24"/>
        <v/>
      </c>
      <c r="AP20" t="str">
        <f t="shared" si="25"/>
        <v/>
      </c>
      <c r="AQ20" t="str">
        <f t="shared" si="26"/>
        <v/>
      </c>
      <c r="AR20" t="str">
        <f t="shared" si="27"/>
        <v/>
      </c>
      <c r="AS20" t="str">
        <f t="shared" si="28"/>
        <v/>
      </c>
      <c r="AT20" t="str">
        <f t="shared" si="29"/>
        <v/>
      </c>
      <c r="AU20" t="str">
        <f t="shared" si="31"/>
        <v/>
      </c>
      <c r="AW20" s="41">
        <v>7</v>
      </c>
      <c r="AX20" s="36">
        <f>Tabulka134[[#This Row],[Race no.]]</f>
        <v>186</v>
      </c>
      <c r="AY20" s="42" t="str">
        <f>Tabulka134[[#This Row],[Surname and name]]</f>
        <v>JANÍČEK Jakub</v>
      </c>
      <c r="AZ20" s="40" t="str">
        <f>Tabulka134[[#This Row],[Team]]</f>
        <v>TJ Favorit Brno</v>
      </c>
      <c r="BA20" s="40" t="str">
        <f>Tabulka134[[#This Row],[Category]]</f>
        <v>Junioři</v>
      </c>
      <c r="BB20" s="45">
        <f>Tabulka134[[#This Row],[celkem]]</f>
        <v>16</v>
      </c>
      <c r="BC20" s="36" t="str">
        <f>Tabulka134[[#This Row],[pořadíSC]]</f>
        <v>x</v>
      </c>
      <c r="BD20" s="36">
        <f>Tabulka134[[#This Row],[bodySC]]</f>
        <v>0</v>
      </c>
      <c r="BE20" s="36">
        <f>Tabulka134[[#This Row],[pořadíPRV]]</f>
        <v>13</v>
      </c>
      <c r="BF20" s="36">
        <f>Tabulka134[[#This Row],[BodyPRV]]</f>
        <v>16</v>
      </c>
      <c r="BG20" s="36">
        <f>Tabulka134[[#This Row],[Body_prv]]</f>
        <v>0</v>
      </c>
      <c r="BH20" t="str">
        <f>Tabulka134[[#This Row],[PoradíVyl]]</f>
        <v>x</v>
      </c>
      <c r="BI20">
        <f>Tabulka134[[#This Row],[Body_vyl]]</f>
        <v>0</v>
      </c>
      <c r="BJ20">
        <f>Tabulka134[[#This Row],[Body_vyl]]</f>
        <v>0</v>
      </c>
    </row>
    <row r="21" spans="1:62" ht="15.75">
      <c r="A21" s="14">
        <f>RANK(Tabulka134[[#This Row],[celkem]],Tabulka134[celkem],0)</f>
        <v>8</v>
      </c>
      <c r="B21" s="44">
        <v>171</v>
      </c>
      <c r="C21" s="15">
        <v>2004</v>
      </c>
      <c r="D21" s="16" t="s">
        <v>297</v>
      </c>
      <c r="E21" s="17" t="s">
        <v>247</v>
      </c>
      <c r="F21" s="18" t="s">
        <v>111</v>
      </c>
      <c r="G21" s="19">
        <f t="shared" si="0"/>
        <v>26</v>
      </c>
      <c r="H21" s="48" t="str">
        <f>IFERROR(VLOOKUP(Tabulka134[[#This Row],[Race no.]],Scrarch!D:E,2,FALSE),"x")</f>
        <v>x</v>
      </c>
      <c r="I21" s="20">
        <f>IFERROR(VLOOKUP(H21,List1!B:C,2,FALSE),0)</f>
        <v>0</v>
      </c>
      <c r="J21" s="21">
        <v>8</v>
      </c>
      <c r="K21" s="49" t="str">
        <f>IFERROR(VLOOKUP(Tabulka134[[#This Row],[Race no.]],Prvenstvi!D:E,2,FALSE),"x")</f>
        <v>x</v>
      </c>
      <c r="L21" s="20">
        <f>IFERROR(VLOOKUP(J21,List1!B:C,2,FALSE),0)</f>
        <v>26</v>
      </c>
      <c r="M21" s="49" t="str">
        <f>IFERROR(VLOOKUP(Tabulka134[[#This Row],[Race no.]],Vylučovačka!D:E,2,FALSE),"x")</f>
        <v>x</v>
      </c>
      <c r="N21" s="20">
        <f>IFERROR(VLOOKUP(M21,List1!B:C,2,FALSE),0)</f>
        <v>0</v>
      </c>
      <c r="O21" s="22">
        <f t="shared" si="1"/>
        <v>0</v>
      </c>
      <c r="P21" s="50" t="str">
        <f>IFERROR(VLOOKUP(Tabulka134[[#This Row],[Race no.]],Bodovacka!D:E,2,FALSE),"x")</f>
        <v>x</v>
      </c>
      <c r="Q21" s="22">
        <f t="shared" si="2"/>
        <v>1</v>
      </c>
      <c r="R21" s="23" t="str">
        <f t="shared" si="3"/>
        <v/>
      </c>
      <c r="S21" s="23" t="str">
        <f t="shared" si="4"/>
        <v/>
      </c>
      <c r="T21" s="23" t="str">
        <f t="shared" si="5"/>
        <v/>
      </c>
      <c r="U21" s="23" t="str">
        <f t="shared" si="6"/>
        <v/>
      </c>
      <c r="V21" s="23" t="str">
        <f t="shared" si="7"/>
        <v/>
      </c>
      <c r="W21" s="23" t="str">
        <f t="shared" si="8"/>
        <v/>
      </c>
      <c r="X21" s="23" t="str">
        <f t="shared" si="9"/>
        <v/>
      </c>
      <c r="Y21" s="23" t="str">
        <f t="shared" si="10"/>
        <v/>
      </c>
      <c r="Z21" s="23" t="str">
        <f t="shared" si="11"/>
        <v/>
      </c>
      <c r="AA21" s="23" t="str">
        <f t="shared" si="12"/>
        <v/>
      </c>
      <c r="AB21" s="23" t="str">
        <f t="shared" si="13"/>
        <v/>
      </c>
      <c r="AC21" s="23" t="str">
        <f t="shared" si="30"/>
        <v/>
      </c>
      <c r="AD21" s="23"/>
      <c r="AE21" s="1" t="str">
        <f t="shared" si="14"/>
        <v/>
      </c>
      <c r="AF21" s="1" t="str">
        <f t="shared" si="15"/>
        <v/>
      </c>
      <c r="AG21" s="1" t="str">
        <f t="shared" si="16"/>
        <v/>
      </c>
      <c r="AH21" s="1" t="str">
        <f t="shared" si="17"/>
        <v/>
      </c>
      <c r="AI21" s="1" t="str">
        <f t="shared" si="18"/>
        <v/>
      </c>
      <c r="AJ21" s="1" t="str">
        <f t="shared" si="19"/>
        <v/>
      </c>
      <c r="AK21" s="1" t="str">
        <f t="shared" si="20"/>
        <v/>
      </c>
      <c r="AL21" s="1" t="str">
        <f t="shared" si="21"/>
        <v/>
      </c>
      <c r="AM21" s="1" t="str">
        <f t="shared" si="22"/>
        <v/>
      </c>
      <c r="AN21" s="1">
        <f t="shared" si="23"/>
        <v>1</v>
      </c>
      <c r="AO21" s="1" t="str">
        <f t="shared" si="24"/>
        <v/>
      </c>
      <c r="AP21" s="1" t="str">
        <f t="shared" si="25"/>
        <v/>
      </c>
      <c r="AQ21" s="1" t="str">
        <f t="shared" si="26"/>
        <v/>
      </c>
      <c r="AR21" s="1" t="str">
        <f t="shared" si="27"/>
        <v/>
      </c>
      <c r="AS21" s="1" t="str">
        <f t="shared" si="28"/>
        <v/>
      </c>
      <c r="AT21" s="1" t="str">
        <f t="shared" si="29"/>
        <v/>
      </c>
      <c r="AU21" s="1" t="str">
        <f t="shared" si="31"/>
        <v/>
      </c>
      <c r="AW21" s="41">
        <v>8</v>
      </c>
      <c r="AX21" s="36">
        <f>Tabulka134[[#This Row],[Race no.]]</f>
        <v>171</v>
      </c>
      <c r="AY21" s="42" t="str">
        <f>Tabulka134[[#This Row],[Surname and name]]</f>
        <v>SOBOTA Gabriel</v>
      </c>
      <c r="AZ21" s="40" t="str">
        <f>Tabulka134[[#This Row],[Team]]</f>
        <v>CK Olympik Trnava</v>
      </c>
      <c r="BA21" s="40" t="str">
        <f>Tabulka134[[#This Row],[Category]]</f>
        <v>Junioři</v>
      </c>
      <c r="BB21" s="45">
        <f>Tabulka134[[#This Row],[celkem]]</f>
        <v>26</v>
      </c>
      <c r="BC21" s="36" t="str">
        <f>Tabulka134[[#This Row],[pořadíSC]]</f>
        <v>x</v>
      </c>
      <c r="BD21" s="36">
        <f>Tabulka134[[#This Row],[bodySC]]</f>
        <v>0</v>
      </c>
      <c r="BE21" s="36">
        <f>Tabulka134[[#This Row],[pořadíPRV]]</f>
        <v>8</v>
      </c>
      <c r="BF21" s="36">
        <f>Tabulka134[[#This Row],[BodyPRV]]</f>
        <v>26</v>
      </c>
      <c r="BG21" s="36">
        <f>Tabulka134[[#This Row],[Body_prv]]</f>
        <v>1</v>
      </c>
      <c r="BH21" t="str">
        <f>Tabulka134[[#This Row],[PoradíVyl]]</f>
        <v>x</v>
      </c>
      <c r="BI21">
        <f>Tabulka134[[#This Row],[Body_vyl]]</f>
        <v>0</v>
      </c>
      <c r="BJ21">
        <f>Tabulka134[[#This Row],[Body_vyl]]</f>
        <v>0</v>
      </c>
    </row>
    <row r="22" spans="1:62" ht="15.75">
      <c r="A22" s="14">
        <f>RANK(Tabulka134[[#This Row],[celkem]],Tabulka134[celkem],0)</f>
        <v>5</v>
      </c>
      <c r="B22" s="44">
        <v>180</v>
      </c>
      <c r="C22" s="15">
        <v>2004</v>
      </c>
      <c r="D22" s="16" t="s">
        <v>305</v>
      </c>
      <c r="E22" s="17" t="s">
        <v>276</v>
      </c>
      <c r="F22" s="18" t="s">
        <v>111</v>
      </c>
      <c r="G22" s="19">
        <f t="shared" si="0"/>
        <v>32</v>
      </c>
      <c r="H22" s="48" t="str">
        <f>IFERROR(VLOOKUP(Tabulka134[[#This Row],[Race no.]],Scrarch!D:E,2,FALSE),"x")</f>
        <v>x</v>
      </c>
      <c r="I22" s="20">
        <f>IFERROR(VLOOKUP(H22,List1!B:C,2,FALSE),0)</f>
        <v>0</v>
      </c>
      <c r="J22" s="21">
        <v>5</v>
      </c>
      <c r="K22" s="49" t="str">
        <f>IFERROR(VLOOKUP(Tabulka134[[#This Row],[Race no.]],Prvenstvi!D:E,2,FALSE),"x")</f>
        <v>x</v>
      </c>
      <c r="L22" s="20">
        <f>IFERROR(VLOOKUP(J22,List1!B:C,2,FALSE),0)</f>
        <v>32</v>
      </c>
      <c r="M22" s="49" t="str">
        <f>IFERROR(VLOOKUP(Tabulka134[[#This Row],[Race no.]],Vylučovačka!D:E,2,FALSE),"x")</f>
        <v>x</v>
      </c>
      <c r="N22" s="20">
        <f>IFERROR(VLOOKUP(M22,List1!B:C,2,FALSE),0)</f>
        <v>0</v>
      </c>
      <c r="O22" s="22">
        <f t="shared" si="1"/>
        <v>0</v>
      </c>
      <c r="P22" s="50" t="str">
        <f>IFERROR(VLOOKUP(Tabulka134[[#This Row],[Race no.]],Bodovacka!D:E,2,FALSE),"x")</f>
        <v>x</v>
      </c>
      <c r="Q22" s="22">
        <f t="shared" si="2"/>
        <v>7</v>
      </c>
      <c r="R22" s="23" t="str">
        <f t="shared" si="3"/>
        <v/>
      </c>
      <c r="S22" s="23" t="str">
        <f t="shared" si="4"/>
        <v/>
      </c>
      <c r="T22" s="23" t="str">
        <f t="shared" si="5"/>
        <v/>
      </c>
      <c r="U22" s="23" t="str">
        <f t="shared" si="6"/>
        <v/>
      </c>
      <c r="V22" s="23" t="str">
        <f t="shared" si="7"/>
        <v/>
      </c>
      <c r="W22" s="23" t="str">
        <f t="shared" si="8"/>
        <v/>
      </c>
      <c r="X22" s="23" t="str">
        <f t="shared" si="9"/>
        <v/>
      </c>
      <c r="Y22" s="23" t="str">
        <f t="shared" si="10"/>
        <v/>
      </c>
      <c r="Z22" s="23" t="str">
        <f t="shared" si="11"/>
        <v/>
      </c>
      <c r="AA22" s="23" t="str">
        <f t="shared" si="12"/>
        <v/>
      </c>
      <c r="AB22" s="23" t="str">
        <f t="shared" si="13"/>
        <v/>
      </c>
      <c r="AC22" s="23" t="str">
        <f t="shared" si="30"/>
        <v/>
      </c>
      <c r="AD22" s="23"/>
      <c r="AE22" t="str">
        <f t="shared" si="14"/>
        <v/>
      </c>
      <c r="AF22" s="29">
        <f t="shared" si="15"/>
        <v>2</v>
      </c>
      <c r="AG22" s="29">
        <f t="shared" si="16"/>
        <v>2</v>
      </c>
      <c r="AH22" s="29" t="str">
        <f t="shared" si="17"/>
        <v/>
      </c>
      <c r="AI22" t="str">
        <f t="shared" si="18"/>
        <v/>
      </c>
      <c r="AJ22" t="str">
        <f t="shared" si="19"/>
        <v/>
      </c>
      <c r="AK22">
        <f t="shared" si="20"/>
        <v>2</v>
      </c>
      <c r="AL22">
        <f t="shared" si="21"/>
        <v>1</v>
      </c>
      <c r="AM22" t="str">
        <f t="shared" si="22"/>
        <v/>
      </c>
      <c r="AN22" t="str">
        <f t="shared" si="23"/>
        <v/>
      </c>
      <c r="AO22" t="str">
        <f t="shared" si="24"/>
        <v/>
      </c>
      <c r="AP22" t="str">
        <f t="shared" si="25"/>
        <v/>
      </c>
      <c r="AQ22" t="str">
        <f t="shared" si="26"/>
        <v/>
      </c>
      <c r="AR22" t="str">
        <f t="shared" si="27"/>
        <v/>
      </c>
      <c r="AS22" t="str">
        <f t="shared" si="28"/>
        <v/>
      </c>
      <c r="AT22" t="str">
        <f t="shared" si="29"/>
        <v/>
      </c>
      <c r="AU22" t="str">
        <f t="shared" si="31"/>
        <v/>
      </c>
      <c r="AW22" s="41">
        <v>9</v>
      </c>
      <c r="AX22" s="36">
        <f>Tabulka134[[#This Row],[Race no.]]</f>
        <v>180</v>
      </c>
      <c r="AY22" s="42" t="str">
        <f>Tabulka134[[#This Row],[Surname and name]]</f>
        <v>VANÍČEK Šimon</v>
      </c>
      <c r="AZ22" s="40" t="str">
        <f>Tabulka134[[#This Row],[Team]]</f>
        <v>Sportcomplex Břeclav</v>
      </c>
      <c r="BA22" s="40" t="str">
        <f>Tabulka134[[#This Row],[Category]]</f>
        <v>Junioři</v>
      </c>
      <c r="BB22" s="45">
        <f>Tabulka134[[#This Row],[celkem]]</f>
        <v>32</v>
      </c>
      <c r="BC22" s="36" t="str">
        <f>Tabulka134[[#This Row],[pořadíSC]]</f>
        <v>x</v>
      </c>
      <c r="BD22" s="36">
        <f>Tabulka134[[#This Row],[bodySC]]</f>
        <v>0</v>
      </c>
      <c r="BE22" s="36">
        <f>Tabulka134[[#This Row],[pořadíPRV]]</f>
        <v>5</v>
      </c>
      <c r="BF22" s="36">
        <f>Tabulka134[[#This Row],[BodyPRV]]</f>
        <v>32</v>
      </c>
      <c r="BG22" s="36">
        <f>Tabulka134[[#This Row],[Body_prv]]</f>
        <v>7</v>
      </c>
      <c r="BH22" t="str">
        <f>Tabulka134[[#This Row],[PoradíVyl]]</f>
        <v>x</v>
      </c>
      <c r="BI22">
        <f>Tabulka134[[#This Row],[Body_vyl]]</f>
        <v>0</v>
      </c>
      <c r="BJ22">
        <f>Tabulka134[[#This Row],[Body_vyl]]</f>
        <v>0</v>
      </c>
    </row>
    <row r="23" spans="1:62" ht="15.75">
      <c r="A23" s="14">
        <f>RANK(Tabulka134[[#This Row],[celkem]],Tabulka134[celkem],0)</f>
        <v>9</v>
      </c>
      <c r="B23" s="44">
        <v>178</v>
      </c>
      <c r="C23" s="15">
        <v>2005</v>
      </c>
      <c r="D23" s="16" t="s">
        <v>303</v>
      </c>
      <c r="E23" s="17" t="s">
        <v>154</v>
      </c>
      <c r="F23" s="18" t="s">
        <v>111</v>
      </c>
      <c r="G23" s="19">
        <f t="shared" si="0"/>
        <v>24</v>
      </c>
      <c r="H23" s="48" t="str">
        <f>IFERROR(VLOOKUP(Tabulka134[[#This Row],[Race no.]],Scrarch!D:E,2,FALSE),"x")</f>
        <v>x</v>
      </c>
      <c r="I23" s="20">
        <f>IFERROR(VLOOKUP(H23,List1!B:C,2,FALSE),0)</f>
        <v>0</v>
      </c>
      <c r="J23" s="21">
        <v>9</v>
      </c>
      <c r="K23" s="49" t="str">
        <f>IFERROR(VLOOKUP(Tabulka134[[#This Row],[Race no.]],Prvenstvi!D:E,2,FALSE),"x")</f>
        <v>x</v>
      </c>
      <c r="L23" s="20">
        <f>IFERROR(VLOOKUP(J23,List1!B:C,2,FALSE),0)</f>
        <v>24</v>
      </c>
      <c r="M23" s="49" t="str">
        <f>IFERROR(VLOOKUP(Tabulka134[[#This Row],[Race no.]],Vylučovačka!D:E,2,FALSE),"x")</f>
        <v>x</v>
      </c>
      <c r="N23" s="20">
        <f>IFERROR(VLOOKUP(M23,List1!B:C,2,FALSE),0)</f>
        <v>0</v>
      </c>
      <c r="O23" s="22">
        <f t="shared" si="1"/>
        <v>0</v>
      </c>
      <c r="P23" s="50" t="str">
        <f>IFERROR(VLOOKUP(Tabulka134[[#This Row],[Race no.]],Bodovacka!D:E,2,FALSE),"x")</f>
        <v>x</v>
      </c>
      <c r="Q23" s="22">
        <f t="shared" si="2"/>
        <v>1</v>
      </c>
      <c r="R23" s="23" t="str">
        <f t="shared" si="3"/>
        <v/>
      </c>
      <c r="S23" s="23" t="str">
        <f t="shared" si="4"/>
        <v/>
      </c>
      <c r="T23" s="23" t="str">
        <f t="shared" si="5"/>
        <v/>
      </c>
      <c r="U23" s="23" t="str">
        <f t="shared" si="6"/>
        <v/>
      </c>
      <c r="V23" s="23" t="str">
        <f t="shared" si="7"/>
        <v/>
      </c>
      <c r="W23" s="23" t="str">
        <f t="shared" si="8"/>
        <v/>
      </c>
      <c r="X23" s="23" t="str">
        <f t="shared" si="9"/>
        <v/>
      </c>
      <c r="Y23" s="23" t="str">
        <f t="shared" si="10"/>
        <v/>
      </c>
      <c r="Z23" s="23" t="str">
        <f t="shared" si="11"/>
        <v/>
      </c>
      <c r="AA23" s="23" t="str">
        <f t="shared" si="12"/>
        <v/>
      </c>
      <c r="AB23" s="23" t="str">
        <f t="shared" si="13"/>
        <v/>
      </c>
      <c r="AC23" s="23" t="str">
        <f t="shared" si="30"/>
        <v/>
      </c>
      <c r="AD23" s="23"/>
      <c r="AE23" t="str">
        <f t="shared" si="14"/>
        <v/>
      </c>
      <c r="AF23" s="29">
        <f t="shared" si="15"/>
        <v>1</v>
      </c>
      <c r="AG23" s="29" t="str">
        <f t="shared" si="16"/>
        <v/>
      </c>
      <c r="AH23" s="29" t="str">
        <f t="shared" si="17"/>
        <v/>
      </c>
      <c r="AI23" t="str">
        <f t="shared" si="18"/>
        <v/>
      </c>
      <c r="AJ23" t="str">
        <f t="shared" si="19"/>
        <v/>
      </c>
      <c r="AK23" t="str">
        <f t="shared" si="20"/>
        <v/>
      </c>
      <c r="AL23" t="str">
        <f t="shared" si="21"/>
        <v/>
      </c>
      <c r="AM23" t="str">
        <f t="shared" si="22"/>
        <v/>
      </c>
      <c r="AN23" t="str">
        <f t="shared" si="23"/>
        <v/>
      </c>
      <c r="AO23" t="str">
        <f t="shared" si="24"/>
        <v/>
      </c>
      <c r="AP23" t="str">
        <f t="shared" si="25"/>
        <v/>
      </c>
      <c r="AQ23" t="str">
        <f t="shared" si="26"/>
        <v/>
      </c>
      <c r="AR23" t="str">
        <f t="shared" si="27"/>
        <v/>
      </c>
      <c r="AS23" t="str">
        <f t="shared" si="28"/>
        <v/>
      </c>
      <c r="AT23" t="str">
        <f t="shared" si="29"/>
        <v/>
      </c>
      <c r="AU23" t="str">
        <f t="shared" si="31"/>
        <v/>
      </c>
      <c r="AW23" s="41">
        <v>9</v>
      </c>
      <c r="AX23" s="36">
        <f>Tabulka134[[#This Row],[Race no.]]</f>
        <v>178</v>
      </c>
      <c r="AY23" s="42" t="str">
        <f>Tabulka134[[#This Row],[Surname and name]]</f>
        <v>ĎURÍK Matúš</v>
      </c>
      <c r="AZ23" s="40" t="str">
        <f>Tabulka134[[#This Row],[Team]]</f>
        <v>MŠK CK Žiar nad Hronom</v>
      </c>
      <c r="BA23" s="40" t="str">
        <f>Tabulka134[[#This Row],[Category]]</f>
        <v>Junioři</v>
      </c>
      <c r="BB23" s="45">
        <f>Tabulka134[[#This Row],[celkem]]</f>
        <v>24</v>
      </c>
      <c r="BC23" s="36" t="str">
        <f>Tabulka134[[#This Row],[pořadíSC]]</f>
        <v>x</v>
      </c>
      <c r="BD23" s="36">
        <f>Tabulka134[[#This Row],[bodySC]]</f>
        <v>0</v>
      </c>
      <c r="BE23" s="36">
        <f>Tabulka134[[#This Row],[pořadíPRV]]</f>
        <v>9</v>
      </c>
      <c r="BF23" s="36">
        <f>Tabulka134[[#This Row],[BodyPRV]]</f>
        <v>24</v>
      </c>
      <c r="BG23" s="36">
        <f>Tabulka134[[#This Row],[Body_prv]]</f>
        <v>1</v>
      </c>
      <c r="BH23" t="str">
        <f>Tabulka134[[#This Row],[PoradíVyl]]</f>
        <v>x</v>
      </c>
      <c r="BI23">
        <f>Tabulka134[[#This Row],[Body_vyl]]</f>
        <v>0</v>
      </c>
      <c r="BJ23">
        <f>Tabulka134[[#This Row],[Body_vyl]]</f>
        <v>0</v>
      </c>
    </row>
    <row r="24" spans="1:62" ht="15.75">
      <c r="A24" s="14">
        <f>RANK(Tabulka134[[#This Row],[celkem]],Tabulka134[celkem],0)</f>
        <v>14</v>
      </c>
      <c r="B24" s="44">
        <v>179</v>
      </c>
      <c r="C24" s="15">
        <v>2005</v>
      </c>
      <c r="D24" s="16" t="s">
        <v>304</v>
      </c>
      <c r="E24" s="17" t="s">
        <v>154</v>
      </c>
      <c r="F24" s="18" t="s">
        <v>111</v>
      </c>
      <c r="G24" s="19">
        <f t="shared" si="0"/>
        <v>14</v>
      </c>
      <c r="H24" s="48" t="str">
        <f>IFERROR(VLOOKUP(Tabulka134[[#This Row],[Race no.]],Scrarch!D:E,2,FALSE),"x")</f>
        <v>x</v>
      </c>
      <c r="I24" s="20">
        <f>IFERROR(VLOOKUP(H24,List1!B:C,2,FALSE),0)</f>
        <v>0</v>
      </c>
      <c r="J24" s="21">
        <v>14</v>
      </c>
      <c r="K24" s="49" t="str">
        <f>IFERROR(VLOOKUP(Tabulka134[[#This Row],[Race no.]],Prvenstvi!D:E,2,FALSE),"x")</f>
        <v>x</v>
      </c>
      <c r="L24" s="20">
        <f>IFERROR(VLOOKUP(J24,List1!B:C,2,FALSE),0)</f>
        <v>14</v>
      </c>
      <c r="M24" s="49" t="str">
        <f>IFERROR(VLOOKUP(Tabulka134[[#This Row],[Race no.]],Vylučovačka!D:E,2,FALSE),"x")</f>
        <v>x</v>
      </c>
      <c r="N24" s="20">
        <f>IFERROR(VLOOKUP(M24,List1!B:C,2,FALSE),0)</f>
        <v>0</v>
      </c>
      <c r="O24" s="22">
        <f t="shared" si="1"/>
        <v>0</v>
      </c>
      <c r="P24" s="50" t="str">
        <f>IFERROR(VLOOKUP(Tabulka134[[#This Row],[Race no.]],Bodovacka!D:E,2,FALSE),"x")</f>
        <v>x</v>
      </c>
      <c r="Q24" s="22">
        <f t="shared" si="2"/>
        <v>0</v>
      </c>
      <c r="R24" s="23" t="str">
        <f t="shared" si="3"/>
        <v/>
      </c>
      <c r="S24" s="23" t="str">
        <f t="shared" si="4"/>
        <v/>
      </c>
      <c r="T24" s="23" t="str">
        <f t="shared" si="5"/>
        <v/>
      </c>
      <c r="U24" s="23" t="str">
        <f t="shared" si="6"/>
        <v/>
      </c>
      <c r="V24" s="23" t="str">
        <f t="shared" si="7"/>
        <v/>
      </c>
      <c r="W24" s="23" t="str">
        <f t="shared" si="8"/>
        <v/>
      </c>
      <c r="X24" s="23" t="str">
        <f t="shared" si="9"/>
        <v/>
      </c>
      <c r="Y24" s="23" t="str">
        <f t="shared" si="10"/>
        <v/>
      </c>
      <c r="Z24" s="23" t="str">
        <f t="shared" si="11"/>
        <v/>
      </c>
      <c r="AA24" s="23" t="str">
        <f t="shared" si="12"/>
        <v/>
      </c>
      <c r="AB24" s="23" t="str">
        <f t="shared" si="13"/>
        <v/>
      </c>
      <c r="AC24" s="23" t="str">
        <f t="shared" si="30"/>
        <v/>
      </c>
      <c r="AD24" s="23"/>
      <c r="AE24" t="str">
        <f t="shared" si="14"/>
        <v/>
      </c>
      <c r="AF24" s="29" t="str">
        <f t="shared" si="15"/>
        <v/>
      </c>
      <c r="AG24" s="29" t="str">
        <f t="shared" si="16"/>
        <v/>
      </c>
      <c r="AH24" s="29" t="str">
        <f t="shared" si="17"/>
        <v/>
      </c>
      <c r="AI24" t="str">
        <f t="shared" si="18"/>
        <v/>
      </c>
      <c r="AJ24" t="str">
        <f t="shared" si="19"/>
        <v/>
      </c>
      <c r="AK24" t="str">
        <f t="shared" si="20"/>
        <v/>
      </c>
      <c r="AL24" t="str">
        <f t="shared" si="21"/>
        <v/>
      </c>
      <c r="AM24" t="str">
        <f t="shared" si="22"/>
        <v/>
      </c>
      <c r="AN24" t="str">
        <f t="shared" si="23"/>
        <v/>
      </c>
      <c r="AO24" t="str">
        <f t="shared" si="24"/>
        <v/>
      </c>
      <c r="AP24" t="str">
        <f t="shared" si="25"/>
        <v/>
      </c>
      <c r="AQ24" t="str">
        <f t="shared" si="26"/>
        <v/>
      </c>
      <c r="AR24" t="str">
        <f t="shared" si="27"/>
        <v/>
      </c>
      <c r="AS24" t="str">
        <f t="shared" si="28"/>
        <v/>
      </c>
      <c r="AT24" t="str">
        <f t="shared" si="29"/>
        <v/>
      </c>
      <c r="AU24" t="str">
        <f t="shared" si="31"/>
        <v/>
      </c>
      <c r="AW24" s="41">
        <v>10</v>
      </c>
      <c r="AX24" s="36">
        <f>Tabulka134[[#This Row],[Race no.]]</f>
        <v>179</v>
      </c>
      <c r="AY24" s="42" t="str">
        <f>Tabulka134[[#This Row],[Surname and name]]</f>
        <v>JACKULIAK Róbert</v>
      </c>
      <c r="AZ24" s="40" t="str">
        <f>Tabulka134[[#This Row],[Team]]</f>
        <v>MŠK CK Žiar nad Hronom</v>
      </c>
      <c r="BA24" s="40" t="str">
        <f>Tabulka134[[#This Row],[Category]]</f>
        <v>Junioři</v>
      </c>
      <c r="BB24" s="45">
        <f>Tabulka134[[#This Row],[celkem]]</f>
        <v>14</v>
      </c>
      <c r="BC24" s="36" t="str">
        <f>Tabulka134[[#This Row],[pořadíSC]]</f>
        <v>x</v>
      </c>
      <c r="BD24" s="36">
        <f>Tabulka134[[#This Row],[bodySC]]</f>
        <v>0</v>
      </c>
      <c r="BE24" s="36">
        <f>Tabulka134[[#This Row],[pořadíPRV]]</f>
        <v>14</v>
      </c>
      <c r="BF24" s="36">
        <f>Tabulka134[[#This Row],[BodyPRV]]</f>
        <v>14</v>
      </c>
      <c r="BG24" s="36">
        <f>Tabulka134[[#This Row],[Body_prv]]</f>
        <v>0</v>
      </c>
      <c r="BH24" t="str">
        <f>Tabulka134[[#This Row],[PoradíVyl]]</f>
        <v>x</v>
      </c>
      <c r="BI24">
        <f>Tabulka134[[#This Row],[Body_vyl]]</f>
        <v>0</v>
      </c>
      <c r="BJ24">
        <f>Tabulka134[[#This Row],[Body_vyl]]</f>
        <v>0</v>
      </c>
    </row>
    <row r="25" spans="1:62" ht="15.75">
      <c r="A25" s="14">
        <f>RANK(Tabulka134[[#This Row],[celkem]],Tabulka134[celkem],0)</f>
        <v>10</v>
      </c>
      <c r="B25" s="44">
        <v>177</v>
      </c>
      <c r="C25" s="15">
        <v>2005</v>
      </c>
      <c r="D25" s="16" t="s">
        <v>302</v>
      </c>
      <c r="E25" s="17" t="s">
        <v>300</v>
      </c>
      <c r="F25" s="18" t="s">
        <v>111</v>
      </c>
      <c r="G25" s="19">
        <f t="shared" si="0"/>
        <v>22</v>
      </c>
      <c r="H25" s="48" t="str">
        <f>IFERROR(VLOOKUP(Tabulka134[[#This Row],[Race no.]],Scrarch!D:E,2,FALSE),"x")</f>
        <v>x</v>
      </c>
      <c r="I25" s="20">
        <f>IFERROR(VLOOKUP(H25,List1!B:C,2,FALSE),0)</f>
        <v>0</v>
      </c>
      <c r="J25" s="21">
        <v>10</v>
      </c>
      <c r="K25" s="49" t="str">
        <f>IFERROR(VLOOKUP(Tabulka134[[#This Row],[Race no.]],Prvenstvi!D:E,2,FALSE),"x")</f>
        <v>x</v>
      </c>
      <c r="L25" s="20">
        <f>IFERROR(VLOOKUP(J25,List1!B:C,2,FALSE),0)</f>
        <v>22</v>
      </c>
      <c r="M25" s="49" t="str">
        <f>IFERROR(VLOOKUP(Tabulka134[[#This Row],[Race no.]],Vylučovačka!D:E,2,FALSE),"x")</f>
        <v>x</v>
      </c>
      <c r="N25" s="20">
        <f>IFERROR(VLOOKUP(M25,List1!B:C,2,FALSE),0)</f>
        <v>0</v>
      </c>
      <c r="O25" s="22">
        <f t="shared" si="1"/>
        <v>0</v>
      </c>
      <c r="P25" s="50" t="str">
        <f>IFERROR(VLOOKUP(Tabulka134[[#This Row],[Race no.]],Bodovacka!D:E,2,FALSE),"x")</f>
        <v>x</v>
      </c>
      <c r="Q25" s="22">
        <f t="shared" si="2"/>
        <v>1</v>
      </c>
      <c r="R25" s="23" t="str">
        <f t="shared" si="3"/>
        <v/>
      </c>
      <c r="S25" s="23" t="str">
        <f t="shared" si="4"/>
        <v/>
      </c>
      <c r="T25" s="23" t="str">
        <f t="shared" si="5"/>
        <v/>
      </c>
      <c r="U25" s="23" t="str">
        <f t="shared" si="6"/>
        <v/>
      </c>
      <c r="V25" s="23" t="str">
        <f t="shared" si="7"/>
        <v/>
      </c>
      <c r="W25" s="23" t="str">
        <f t="shared" si="8"/>
        <v/>
      </c>
      <c r="X25" s="23" t="str">
        <f t="shared" si="9"/>
        <v/>
      </c>
      <c r="Y25" s="23" t="str">
        <f t="shared" si="10"/>
        <v/>
      </c>
      <c r="Z25" s="23" t="str">
        <f t="shared" si="11"/>
        <v/>
      </c>
      <c r="AA25" s="23" t="str">
        <f t="shared" si="12"/>
        <v/>
      </c>
      <c r="AB25" s="23" t="str">
        <f t="shared" si="13"/>
        <v/>
      </c>
      <c r="AC25" s="23" t="str">
        <f t="shared" si="30"/>
        <v/>
      </c>
      <c r="AD25" s="23"/>
      <c r="AE25" t="str">
        <f t="shared" si="14"/>
        <v/>
      </c>
      <c r="AF25" t="str">
        <f t="shared" si="15"/>
        <v/>
      </c>
      <c r="AG25">
        <f t="shared" si="16"/>
        <v>1</v>
      </c>
      <c r="AH25" t="str">
        <f t="shared" si="17"/>
        <v/>
      </c>
      <c r="AI25" t="str">
        <f t="shared" si="18"/>
        <v/>
      </c>
      <c r="AJ25" t="str">
        <f t="shared" si="19"/>
        <v/>
      </c>
      <c r="AK25" t="str">
        <f t="shared" si="20"/>
        <v/>
      </c>
      <c r="AL25" t="str">
        <f t="shared" si="21"/>
        <v/>
      </c>
      <c r="AM25" t="str">
        <f t="shared" si="22"/>
        <v/>
      </c>
      <c r="AN25" t="str">
        <f t="shared" si="23"/>
        <v/>
      </c>
      <c r="AO25" t="str">
        <f t="shared" si="24"/>
        <v/>
      </c>
      <c r="AP25" t="str">
        <f t="shared" si="25"/>
        <v/>
      </c>
      <c r="AQ25" t="str">
        <f t="shared" si="26"/>
        <v/>
      </c>
      <c r="AR25" t="str">
        <f t="shared" si="27"/>
        <v/>
      </c>
      <c r="AS25" t="str">
        <f t="shared" si="28"/>
        <v/>
      </c>
      <c r="AT25" t="str">
        <f t="shared" si="29"/>
        <v/>
      </c>
      <c r="AU25" t="str">
        <f t="shared" si="31"/>
        <v/>
      </c>
      <c r="AW25" s="41">
        <v>11</v>
      </c>
      <c r="AX25" s="36">
        <f>Tabulka134[[#This Row],[Race no.]]</f>
        <v>177</v>
      </c>
      <c r="AY25" s="42" t="str">
        <f>Tabulka134[[#This Row],[Surname and name]]</f>
        <v xml:space="preserve">Ježek David </v>
      </c>
      <c r="AZ25" s="40" t="str">
        <f>Tabulka134[[#This Row],[Team]]</f>
        <v>Dukla Brno</v>
      </c>
      <c r="BA25" s="40" t="str">
        <f>Tabulka134[[#This Row],[Category]]</f>
        <v>Junioři</v>
      </c>
      <c r="BB25" s="45">
        <f>Tabulka134[[#This Row],[celkem]]</f>
        <v>22</v>
      </c>
      <c r="BC25" s="36" t="str">
        <f>Tabulka134[[#This Row],[pořadíSC]]</f>
        <v>x</v>
      </c>
      <c r="BD25" s="36">
        <f>Tabulka134[[#This Row],[bodySC]]</f>
        <v>0</v>
      </c>
      <c r="BE25" s="36">
        <f>Tabulka134[[#This Row],[pořadíPRV]]</f>
        <v>10</v>
      </c>
      <c r="BF25" s="36">
        <f>Tabulka134[[#This Row],[BodyPRV]]</f>
        <v>22</v>
      </c>
      <c r="BG25" s="36">
        <f>Tabulka134[[#This Row],[Body_prv]]</f>
        <v>1</v>
      </c>
      <c r="BH25" t="str">
        <f>Tabulka134[[#This Row],[PoradíVyl]]</f>
        <v>x</v>
      </c>
      <c r="BI25">
        <f>Tabulka134[[#This Row],[Body_vyl]]</f>
        <v>0</v>
      </c>
      <c r="BJ25">
        <f>Tabulka134[[#This Row],[Body_vyl]]</f>
        <v>0</v>
      </c>
    </row>
    <row r="26" spans="1:62" ht="15.75">
      <c r="A26" s="14">
        <f>RANK(Tabulka134[[#This Row],[celkem]],Tabulka134[celkem],0)</f>
        <v>15</v>
      </c>
      <c r="B26" s="44">
        <v>176</v>
      </c>
      <c r="C26" s="15">
        <v>2004</v>
      </c>
      <c r="D26" s="16" t="s">
        <v>301</v>
      </c>
      <c r="E26" s="17" t="s">
        <v>300</v>
      </c>
      <c r="F26" s="18" t="s">
        <v>111</v>
      </c>
      <c r="G26" s="19">
        <f t="shared" si="0"/>
        <v>12</v>
      </c>
      <c r="H26" s="48" t="str">
        <f>IFERROR(VLOOKUP(Tabulka134[[#This Row],[Race no.]],Scrarch!D:E,2,FALSE),"x")</f>
        <v>x</v>
      </c>
      <c r="I26" s="20">
        <f>IFERROR(VLOOKUP(H26,List1!B:C,2,FALSE),0)</f>
        <v>0</v>
      </c>
      <c r="J26" s="21">
        <v>15</v>
      </c>
      <c r="K26" s="49" t="str">
        <f>IFERROR(VLOOKUP(Tabulka134[[#This Row],[Race no.]],Prvenstvi!D:E,2,FALSE),"x")</f>
        <v>x</v>
      </c>
      <c r="L26" s="20">
        <f>IFERROR(VLOOKUP(J26,List1!B:C,2,FALSE),0)</f>
        <v>12</v>
      </c>
      <c r="M26" s="49" t="str">
        <f>IFERROR(VLOOKUP(Tabulka134[[#This Row],[Race no.]],Vylučovačka!D:E,2,FALSE),"x")</f>
        <v>x</v>
      </c>
      <c r="N26" s="20">
        <f>IFERROR(VLOOKUP(M26,List1!B:C,2,FALSE),0)</f>
        <v>0</v>
      </c>
      <c r="O26" s="22">
        <f t="shared" si="1"/>
        <v>0</v>
      </c>
      <c r="P26" s="50" t="str">
        <f>IFERROR(VLOOKUP(Tabulka134[[#This Row],[Race no.]],Bodovacka!D:E,2,FALSE),"x")</f>
        <v>x</v>
      </c>
      <c r="Q26" s="22">
        <f t="shared" si="2"/>
        <v>0</v>
      </c>
      <c r="R26" s="23" t="str">
        <f t="shared" si="3"/>
        <v/>
      </c>
      <c r="S26" s="23" t="str">
        <f t="shared" si="4"/>
        <v/>
      </c>
      <c r="T26" s="23" t="str">
        <f t="shared" si="5"/>
        <v/>
      </c>
      <c r="U26" s="23" t="str">
        <f t="shared" si="6"/>
        <v/>
      </c>
      <c r="V26" s="23" t="str">
        <f t="shared" si="7"/>
        <v/>
      </c>
      <c r="W26" s="23" t="str">
        <f t="shared" si="8"/>
        <v/>
      </c>
      <c r="X26" s="23" t="str">
        <f t="shared" si="9"/>
        <v/>
      </c>
      <c r="Y26" s="23" t="str">
        <f t="shared" si="10"/>
        <v/>
      </c>
      <c r="Z26" s="23" t="str">
        <f t="shared" si="11"/>
        <v/>
      </c>
      <c r="AA26" s="23" t="str">
        <f t="shared" si="12"/>
        <v/>
      </c>
      <c r="AB26" s="23" t="str">
        <f t="shared" si="13"/>
        <v/>
      </c>
      <c r="AC26" s="23" t="str">
        <f t="shared" si="30"/>
        <v/>
      </c>
      <c r="AD26" s="23"/>
      <c r="AE26" t="str">
        <f t="shared" si="14"/>
        <v/>
      </c>
      <c r="AF26" t="str">
        <f t="shared" si="15"/>
        <v/>
      </c>
      <c r="AG26" t="str">
        <f t="shared" si="16"/>
        <v/>
      </c>
      <c r="AH26" t="str">
        <f t="shared" si="17"/>
        <v/>
      </c>
      <c r="AI26" t="str">
        <f t="shared" si="18"/>
        <v/>
      </c>
      <c r="AJ26" t="str">
        <f t="shared" si="19"/>
        <v/>
      </c>
      <c r="AK26" t="str">
        <f t="shared" si="20"/>
        <v/>
      </c>
      <c r="AL26" t="str">
        <f t="shared" si="21"/>
        <v/>
      </c>
      <c r="AM26" t="str">
        <f t="shared" si="22"/>
        <v/>
      </c>
      <c r="AN26" t="str">
        <f t="shared" si="23"/>
        <v/>
      </c>
      <c r="AO26" t="str">
        <f t="shared" si="24"/>
        <v/>
      </c>
      <c r="AP26" t="str">
        <f t="shared" si="25"/>
        <v/>
      </c>
      <c r="AQ26" t="str">
        <f t="shared" si="26"/>
        <v/>
      </c>
      <c r="AR26" s="1" t="str">
        <f t="shared" si="27"/>
        <v/>
      </c>
      <c r="AS26" t="str">
        <f t="shared" si="28"/>
        <v/>
      </c>
      <c r="AT26" t="str">
        <f t="shared" si="29"/>
        <v/>
      </c>
      <c r="AU26" t="str">
        <f t="shared" si="31"/>
        <v/>
      </c>
      <c r="AW26" s="41">
        <v>12</v>
      </c>
      <c r="AX26" s="36">
        <f>Tabulka134[[#This Row],[Race no.]]</f>
        <v>176</v>
      </c>
      <c r="AY26" s="42" t="str">
        <f>Tabulka134[[#This Row],[Surname and name]]</f>
        <v>Hytych Matěj</v>
      </c>
      <c r="AZ26" s="40" t="str">
        <f>Tabulka134[[#This Row],[Team]]</f>
        <v>Dukla Brno</v>
      </c>
      <c r="BA26" s="40" t="str">
        <f>Tabulka134[[#This Row],[Category]]</f>
        <v>Junioři</v>
      </c>
      <c r="BB26" s="45">
        <f>Tabulka134[[#This Row],[celkem]]</f>
        <v>12</v>
      </c>
      <c r="BC26" s="36" t="str">
        <f>Tabulka134[[#This Row],[pořadíSC]]</f>
        <v>x</v>
      </c>
      <c r="BD26" s="36">
        <f>Tabulka134[[#This Row],[bodySC]]</f>
        <v>0</v>
      </c>
      <c r="BE26" s="36">
        <f>Tabulka134[[#This Row],[pořadíPRV]]</f>
        <v>15</v>
      </c>
      <c r="BF26" s="36">
        <f>Tabulka134[[#This Row],[BodyPRV]]</f>
        <v>12</v>
      </c>
      <c r="BG26" s="36">
        <f>Tabulka134[[#This Row],[Body_prv]]</f>
        <v>0</v>
      </c>
      <c r="BH26" t="str">
        <f>Tabulka134[[#This Row],[PoradíVyl]]</f>
        <v>x</v>
      </c>
      <c r="BI26">
        <f>Tabulka134[[#This Row],[Body_vyl]]</f>
        <v>0</v>
      </c>
      <c r="BJ26">
        <f>Tabulka134[[#This Row],[Body_vyl]]</f>
        <v>0</v>
      </c>
    </row>
    <row r="27" spans="1:62" ht="15.75">
      <c r="A27" s="14">
        <f>RANK(Tabulka134[[#This Row],[celkem]],Tabulka134[celkem],0)</f>
        <v>16</v>
      </c>
      <c r="B27" s="44">
        <v>172</v>
      </c>
      <c r="C27" s="15">
        <v>2005</v>
      </c>
      <c r="D27" s="16" t="s">
        <v>298</v>
      </c>
      <c r="E27" s="17" t="s">
        <v>247</v>
      </c>
      <c r="F27" s="18" t="s">
        <v>111</v>
      </c>
      <c r="G27" s="19">
        <f t="shared" si="0"/>
        <v>10</v>
      </c>
      <c r="H27" s="48" t="str">
        <f>IFERROR(VLOOKUP(Tabulka134[[#This Row],[Race no.]],Scrarch!D:E,2,FALSE),"x")</f>
        <v>x</v>
      </c>
      <c r="I27" s="20">
        <f>IFERROR(VLOOKUP(H27,List1!B:C,2,FALSE),0)</f>
        <v>0</v>
      </c>
      <c r="J27" s="21">
        <v>16</v>
      </c>
      <c r="K27" s="49" t="str">
        <f>IFERROR(VLOOKUP(Tabulka134[[#This Row],[Race no.]],Prvenstvi!D:E,2,FALSE),"x")</f>
        <v>x</v>
      </c>
      <c r="L27" s="20">
        <f>IFERROR(VLOOKUP(J27,List1!B:C,2,FALSE),0)</f>
        <v>10</v>
      </c>
      <c r="M27" s="49" t="str">
        <f>IFERROR(VLOOKUP(Tabulka134[[#This Row],[Race no.]],Vylučovačka!D:E,2,FALSE),"x")</f>
        <v>x</v>
      </c>
      <c r="N27" s="20">
        <f>IFERROR(VLOOKUP(M27,List1!B:C,2,FALSE),0)</f>
        <v>0</v>
      </c>
      <c r="O27" s="22">
        <f t="shared" si="1"/>
        <v>0</v>
      </c>
      <c r="P27" s="50" t="str">
        <f>IFERROR(VLOOKUP(Tabulka134[[#This Row],[Race no.]],Bodovacka!D:E,2,FALSE),"x")</f>
        <v>x</v>
      </c>
      <c r="Q27" s="22">
        <f t="shared" si="2"/>
        <v>0</v>
      </c>
      <c r="R27" s="23" t="str">
        <f t="shared" si="3"/>
        <v/>
      </c>
      <c r="S27" s="23" t="str">
        <f t="shared" si="4"/>
        <v/>
      </c>
      <c r="T27" s="23" t="str">
        <f t="shared" si="5"/>
        <v/>
      </c>
      <c r="U27" s="23" t="str">
        <f t="shared" si="6"/>
        <v/>
      </c>
      <c r="V27" s="23" t="str">
        <f t="shared" si="7"/>
        <v/>
      </c>
      <c r="W27" s="23" t="str">
        <f t="shared" si="8"/>
        <v/>
      </c>
      <c r="X27" s="23" t="str">
        <f t="shared" si="9"/>
        <v/>
      </c>
      <c r="Y27" s="23" t="str">
        <f t="shared" si="10"/>
        <v/>
      </c>
      <c r="Z27" s="23" t="str">
        <f t="shared" si="11"/>
        <v/>
      </c>
      <c r="AA27" s="23" t="str">
        <f t="shared" si="12"/>
        <v/>
      </c>
      <c r="AB27" s="23" t="str">
        <f t="shared" si="13"/>
        <v/>
      </c>
      <c r="AC27" s="23" t="str">
        <f t="shared" si="30"/>
        <v/>
      </c>
      <c r="AD27" s="23"/>
      <c r="AE27" t="str">
        <f t="shared" si="14"/>
        <v/>
      </c>
      <c r="AF27" t="str">
        <f t="shared" si="15"/>
        <v/>
      </c>
      <c r="AG27" t="str">
        <f t="shared" si="16"/>
        <v/>
      </c>
      <c r="AH27" t="str">
        <f t="shared" si="17"/>
        <v/>
      </c>
      <c r="AI27" t="str">
        <f t="shared" si="18"/>
        <v/>
      </c>
      <c r="AJ27" t="str">
        <f t="shared" si="19"/>
        <v/>
      </c>
      <c r="AK27" t="str">
        <f t="shared" si="20"/>
        <v/>
      </c>
      <c r="AL27" t="str">
        <f t="shared" si="21"/>
        <v/>
      </c>
      <c r="AM27" t="str">
        <f t="shared" si="22"/>
        <v/>
      </c>
      <c r="AN27" t="str">
        <f t="shared" si="23"/>
        <v/>
      </c>
      <c r="AO27" t="str">
        <f t="shared" si="24"/>
        <v/>
      </c>
      <c r="AP27" t="str">
        <f t="shared" si="25"/>
        <v/>
      </c>
      <c r="AQ27" t="str">
        <f t="shared" si="26"/>
        <v/>
      </c>
      <c r="AR27" t="str">
        <f t="shared" si="27"/>
        <v/>
      </c>
      <c r="AS27" t="str">
        <f t="shared" si="28"/>
        <v/>
      </c>
      <c r="AT27" t="str">
        <f t="shared" si="29"/>
        <v/>
      </c>
      <c r="AU27" t="str">
        <f t="shared" si="31"/>
        <v/>
      </c>
      <c r="AW27" s="41">
        <v>13</v>
      </c>
      <c r="AX27" s="36">
        <f>Tabulka134[[#This Row],[Race no.]]</f>
        <v>172</v>
      </c>
      <c r="AY27" s="42" t="str">
        <f>Tabulka134[[#This Row],[Surname and name]]</f>
        <v>MEČÍR Michal</v>
      </c>
      <c r="AZ27" s="40" t="str">
        <f>Tabulka134[[#This Row],[Team]]</f>
        <v>CK Olympik Trnava</v>
      </c>
      <c r="BA27" s="40" t="str">
        <f>Tabulka134[[#This Row],[Category]]</f>
        <v>Junioři</v>
      </c>
      <c r="BB27" s="45">
        <f>Tabulka134[[#This Row],[celkem]]</f>
        <v>10</v>
      </c>
      <c r="BC27" s="36" t="str">
        <f>Tabulka134[[#This Row],[pořadíSC]]</f>
        <v>x</v>
      </c>
      <c r="BD27" s="36">
        <f>Tabulka134[[#This Row],[bodySC]]</f>
        <v>0</v>
      </c>
      <c r="BE27" s="36">
        <f>Tabulka134[[#This Row],[pořadíPRV]]</f>
        <v>16</v>
      </c>
      <c r="BF27" s="36">
        <f>Tabulka134[[#This Row],[BodyPRV]]</f>
        <v>10</v>
      </c>
      <c r="BG27" s="36">
        <f>Tabulka134[[#This Row],[Body_prv]]</f>
        <v>0</v>
      </c>
      <c r="BH27" t="str">
        <f>Tabulka134[[#This Row],[PoradíVyl]]</f>
        <v>x</v>
      </c>
      <c r="BI27">
        <f>Tabulka134[[#This Row],[Body_vyl]]</f>
        <v>0</v>
      </c>
      <c r="BJ27">
        <f>Tabulka134[[#This Row],[Body_vyl]]</f>
        <v>0</v>
      </c>
    </row>
    <row r="28" spans="1:62" ht="15.75">
      <c r="A28" s="14">
        <f>RANK(Tabulka134[[#This Row],[celkem]],Tabulka134[celkem],0)</f>
        <v>17</v>
      </c>
      <c r="B28" s="44">
        <v>192</v>
      </c>
      <c r="C28" s="15">
        <v>2005</v>
      </c>
      <c r="D28" s="16" t="s">
        <v>313</v>
      </c>
      <c r="E28" s="17" t="s">
        <v>165</v>
      </c>
      <c r="F28" s="18" t="s">
        <v>111</v>
      </c>
      <c r="G28" s="19">
        <f t="shared" si="0"/>
        <v>8</v>
      </c>
      <c r="H28" s="48" t="str">
        <f>IFERROR(VLOOKUP(Tabulka134[[#This Row],[Race no.]],Scrarch!D:E,2,FALSE),"x")</f>
        <v>x</v>
      </c>
      <c r="I28" s="20">
        <f>IFERROR(VLOOKUP(H28,List1!B:C,2,FALSE),0)</f>
        <v>0</v>
      </c>
      <c r="J28" s="21">
        <v>17</v>
      </c>
      <c r="K28" s="49" t="str">
        <f>IFERROR(VLOOKUP(Tabulka134[[#This Row],[Race no.]],Prvenstvi!D:E,2,FALSE),"x")</f>
        <v>x</v>
      </c>
      <c r="L28" s="20">
        <f>IFERROR(VLOOKUP(J28,List1!B:C,2,FALSE),0)</f>
        <v>8</v>
      </c>
      <c r="M28" s="49" t="str">
        <f>IFERROR(VLOOKUP(Tabulka134[[#This Row],[Race no.]],Vylučovačka!D:E,2,FALSE),"x")</f>
        <v>x</v>
      </c>
      <c r="N28" s="20">
        <f>IFERROR(VLOOKUP(M28,List1!B:C,2,FALSE),0)</f>
        <v>0</v>
      </c>
      <c r="O28" s="22">
        <f t="shared" si="1"/>
        <v>0</v>
      </c>
      <c r="P28" s="50" t="str">
        <f>IFERROR(VLOOKUP(Tabulka134[[#This Row],[Race no.]],Bodovacka!D:E,2,FALSE),"x")</f>
        <v>x</v>
      </c>
      <c r="Q28" s="22">
        <f t="shared" si="2"/>
        <v>0</v>
      </c>
      <c r="R28" s="23" t="str">
        <f t="shared" si="3"/>
        <v/>
      </c>
      <c r="S28" s="23" t="str">
        <f t="shared" si="4"/>
        <v/>
      </c>
      <c r="T28" s="23" t="str">
        <f t="shared" si="5"/>
        <v/>
      </c>
      <c r="U28" s="23" t="str">
        <f t="shared" si="6"/>
        <v/>
      </c>
      <c r="V28" s="23" t="str">
        <f t="shared" si="7"/>
        <v/>
      </c>
      <c r="W28" s="23" t="str">
        <f t="shared" si="8"/>
        <v/>
      </c>
      <c r="X28" s="23" t="str">
        <f t="shared" si="9"/>
        <v/>
      </c>
      <c r="Y28" s="23" t="str">
        <f t="shared" si="10"/>
        <v/>
      </c>
      <c r="Z28" s="23" t="str">
        <f t="shared" si="11"/>
        <v/>
      </c>
      <c r="AA28" s="23" t="str">
        <f t="shared" si="12"/>
        <v/>
      </c>
      <c r="AB28" s="23" t="str">
        <f t="shared" si="13"/>
        <v/>
      </c>
      <c r="AC28" s="23" t="str">
        <f t="shared" si="30"/>
        <v/>
      </c>
      <c r="AD28" s="23"/>
      <c r="AE28" t="str">
        <f t="shared" si="14"/>
        <v/>
      </c>
      <c r="AF28" t="str">
        <f t="shared" si="15"/>
        <v/>
      </c>
      <c r="AG28" t="str">
        <f t="shared" si="16"/>
        <v/>
      </c>
      <c r="AH28" t="str">
        <f t="shared" si="17"/>
        <v/>
      </c>
      <c r="AI28" t="str">
        <f t="shared" si="18"/>
        <v/>
      </c>
      <c r="AJ28" t="str">
        <f t="shared" si="19"/>
        <v/>
      </c>
      <c r="AK28" t="str">
        <f t="shared" si="20"/>
        <v/>
      </c>
      <c r="AL28" t="str">
        <f t="shared" si="21"/>
        <v/>
      </c>
      <c r="AM28" t="str">
        <f t="shared" si="22"/>
        <v/>
      </c>
      <c r="AN28" t="str">
        <f t="shared" si="23"/>
        <v/>
      </c>
      <c r="AO28" t="str">
        <f t="shared" si="24"/>
        <v/>
      </c>
      <c r="AP28" t="str">
        <f t="shared" si="25"/>
        <v/>
      </c>
      <c r="AQ28" t="str">
        <f t="shared" si="26"/>
        <v/>
      </c>
      <c r="AR28" t="str">
        <f t="shared" si="27"/>
        <v/>
      </c>
      <c r="AS28" t="str">
        <f t="shared" si="28"/>
        <v/>
      </c>
      <c r="AT28" t="str">
        <f t="shared" si="29"/>
        <v/>
      </c>
      <c r="AU28" t="str">
        <f t="shared" si="31"/>
        <v/>
      </c>
      <c r="AW28" s="41">
        <v>14</v>
      </c>
      <c r="AX28" s="36">
        <f>Tabulka134[[#This Row],[Race no.]]</f>
        <v>192</v>
      </c>
      <c r="AY28" s="42" t="str">
        <f>Tabulka134[[#This Row],[Surname and name]]</f>
        <v>MACH Milan</v>
      </c>
      <c r="AZ28" s="40" t="str">
        <f>Tabulka134[[#This Row],[Team]]</f>
        <v>TJ Favorit Brno</v>
      </c>
      <c r="BA28" s="40" t="str">
        <f>Tabulka134[[#This Row],[Category]]</f>
        <v>Junioři</v>
      </c>
      <c r="BB28" s="45">
        <f>Tabulka134[[#This Row],[celkem]]</f>
        <v>8</v>
      </c>
      <c r="BC28" s="36" t="str">
        <f>Tabulka134[[#This Row],[pořadíSC]]</f>
        <v>x</v>
      </c>
      <c r="BD28" s="36">
        <f>Tabulka134[[#This Row],[bodySC]]</f>
        <v>0</v>
      </c>
      <c r="BE28" s="36">
        <f>Tabulka134[[#This Row],[pořadíPRV]]</f>
        <v>17</v>
      </c>
      <c r="BF28" s="36">
        <f>Tabulka134[[#This Row],[BodyPRV]]</f>
        <v>8</v>
      </c>
      <c r="BG28" s="36">
        <f>Tabulka134[[#This Row],[Body_prv]]</f>
        <v>0</v>
      </c>
      <c r="BH28" t="str">
        <f>Tabulka134[[#This Row],[PoradíVyl]]</f>
        <v>x</v>
      </c>
      <c r="BI28">
        <f>Tabulka134[[#This Row],[Body_vyl]]</f>
        <v>0</v>
      </c>
      <c r="BJ28">
        <f>Tabulka134[[#This Row],[Body_vyl]]</f>
        <v>0</v>
      </c>
    </row>
    <row r="29" spans="1:62" ht="15.75">
      <c r="A29" s="14">
        <f>RANK(Tabulka134[[#This Row],[celkem]],Tabulka134[celkem],0)</f>
        <v>18</v>
      </c>
      <c r="B29" s="44">
        <v>189</v>
      </c>
      <c r="C29" s="15">
        <v>2005</v>
      </c>
      <c r="D29" s="16" t="s">
        <v>310</v>
      </c>
      <c r="E29" s="17" t="s">
        <v>165</v>
      </c>
      <c r="F29" s="18" t="s">
        <v>111</v>
      </c>
      <c r="G29" s="19">
        <f t="shared" si="0"/>
        <v>6</v>
      </c>
      <c r="H29" s="48" t="str">
        <f>IFERROR(VLOOKUP(Tabulka134[[#This Row],[Race no.]],Scrarch!D:E,2,FALSE),"x")</f>
        <v>x</v>
      </c>
      <c r="I29" s="20">
        <f>IFERROR(VLOOKUP(H29,List1!B:C,2,FALSE),0)</f>
        <v>0</v>
      </c>
      <c r="J29" s="21">
        <v>18</v>
      </c>
      <c r="K29" s="49" t="str">
        <f>IFERROR(VLOOKUP(Tabulka134[[#This Row],[Race no.]],Prvenstvi!D:E,2,FALSE),"x")</f>
        <v>x</v>
      </c>
      <c r="L29" s="20">
        <f>IFERROR(VLOOKUP(J29,List1!B:C,2,FALSE),0)</f>
        <v>6</v>
      </c>
      <c r="M29" s="49" t="str">
        <f>IFERROR(VLOOKUP(Tabulka134[[#This Row],[Race no.]],Vylučovačka!D:E,2,FALSE),"x")</f>
        <v>x</v>
      </c>
      <c r="N29" s="20">
        <f>IFERROR(VLOOKUP(M29,List1!B:C,2,FALSE),0)</f>
        <v>0</v>
      </c>
      <c r="O29" s="22">
        <f t="shared" si="1"/>
        <v>0</v>
      </c>
      <c r="P29" s="50" t="str">
        <f>IFERROR(VLOOKUP(Tabulka134[[#This Row],[Race no.]],Bodovacka!D:E,2,FALSE),"x")</f>
        <v>x</v>
      </c>
      <c r="Q29" s="22">
        <f t="shared" si="2"/>
        <v>0</v>
      </c>
      <c r="R29" s="23" t="str">
        <f t="shared" si="3"/>
        <v/>
      </c>
      <c r="S29" s="23" t="str">
        <f t="shared" si="4"/>
        <v/>
      </c>
      <c r="T29" s="23" t="str">
        <f t="shared" si="5"/>
        <v/>
      </c>
      <c r="U29" s="23" t="str">
        <f t="shared" si="6"/>
        <v/>
      </c>
      <c r="V29" s="23" t="str">
        <f t="shared" si="7"/>
        <v/>
      </c>
      <c r="W29" s="23" t="str">
        <f t="shared" si="8"/>
        <v/>
      </c>
      <c r="X29" s="23" t="str">
        <f t="shared" si="9"/>
        <v/>
      </c>
      <c r="Y29" s="23" t="str">
        <f t="shared" si="10"/>
        <v/>
      </c>
      <c r="Z29" s="23" t="str">
        <f t="shared" si="11"/>
        <v/>
      </c>
      <c r="AA29" s="23" t="str">
        <f t="shared" si="12"/>
        <v/>
      </c>
      <c r="AB29" s="23" t="str">
        <f t="shared" si="13"/>
        <v/>
      </c>
      <c r="AC29" s="23" t="str">
        <f t="shared" si="30"/>
        <v/>
      </c>
      <c r="AD29" s="23"/>
      <c r="AE29" t="str">
        <f t="shared" si="14"/>
        <v/>
      </c>
      <c r="AF29" t="str">
        <f t="shared" si="15"/>
        <v/>
      </c>
      <c r="AG29" t="str">
        <f t="shared" si="16"/>
        <v/>
      </c>
      <c r="AH29" t="str">
        <f t="shared" si="17"/>
        <v/>
      </c>
      <c r="AI29" t="str">
        <f t="shared" si="18"/>
        <v/>
      </c>
      <c r="AJ29" t="str">
        <f t="shared" si="19"/>
        <v/>
      </c>
      <c r="AK29" t="str">
        <f t="shared" si="20"/>
        <v/>
      </c>
      <c r="AL29" t="str">
        <f t="shared" si="21"/>
        <v/>
      </c>
      <c r="AM29" t="str">
        <f t="shared" si="22"/>
        <v/>
      </c>
      <c r="AN29" t="str">
        <f t="shared" si="23"/>
        <v/>
      </c>
      <c r="AO29" t="str">
        <f t="shared" si="24"/>
        <v/>
      </c>
      <c r="AP29" t="str">
        <f t="shared" si="25"/>
        <v/>
      </c>
      <c r="AQ29" t="str">
        <f t="shared" si="26"/>
        <v/>
      </c>
      <c r="AR29" t="str">
        <f t="shared" si="27"/>
        <v/>
      </c>
      <c r="AS29" t="str">
        <f t="shared" si="28"/>
        <v/>
      </c>
      <c r="AT29" t="str">
        <f t="shared" si="29"/>
        <v/>
      </c>
      <c r="AU29" t="str">
        <f t="shared" si="31"/>
        <v/>
      </c>
      <c r="AW29" s="41">
        <v>14</v>
      </c>
      <c r="AX29" s="36">
        <f>Tabulka134[[#This Row],[Race no.]]</f>
        <v>189</v>
      </c>
      <c r="AY29" s="42" t="str">
        <f>Tabulka134[[#This Row],[Surname and name]]</f>
        <v>NOVÁK Tomáš</v>
      </c>
      <c r="AZ29" s="40" t="str">
        <f>Tabulka134[[#This Row],[Team]]</f>
        <v>TJ Favorit Brno</v>
      </c>
      <c r="BA29" s="40" t="str">
        <f>Tabulka134[[#This Row],[Category]]</f>
        <v>Junioři</v>
      </c>
      <c r="BB29" s="45">
        <f>Tabulka134[[#This Row],[celkem]]</f>
        <v>6</v>
      </c>
      <c r="BC29" s="36" t="str">
        <f>Tabulka134[[#This Row],[pořadíSC]]</f>
        <v>x</v>
      </c>
      <c r="BD29" s="36">
        <f>Tabulka134[[#This Row],[bodySC]]</f>
        <v>0</v>
      </c>
      <c r="BE29" s="36">
        <f>Tabulka134[[#This Row],[pořadíPRV]]</f>
        <v>18</v>
      </c>
      <c r="BF29" s="36">
        <f>Tabulka134[[#This Row],[BodyPRV]]</f>
        <v>6</v>
      </c>
      <c r="BG29" s="36">
        <f>Tabulka134[[#This Row],[Body_prv]]</f>
        <v>0</v>
      </c>
      <c r="BH29" t="str">
        <f>Tabulka134[[#This Row],[PoradíVyl]]</f>
        <v>x</v>
      </c>
      <c r="BI29">
        <f>Tabulka134[[#This Row],[Body_vyl]]</f>
        <v>0</v>
      </c>
      <c r="BJ29">
        <f>Tabulka134[[#This Row],[Body_vyl]]</f>
        <v>0</v>
      </c>
    </row>
    <row r="30" spans="1:62">
      <c r="A30" s="24" t="s">
        <v>79</v>
      </c>
      <c r="B30" s="24"/>
      <c r="C30" s="24"/>
      <c r="D30" s="24">
        <f>COUNT(Tabulka134[Race no.])</f>
        <v>18</v>
      </c>
      <c r="E30" s="24"/>
      <c r="F30" s="25"/>
      <c r="G30" s="26"/>
      <c r="H30" s="26"/>
      <c r="I30" s="27"/>
      <c r="J30" s="27"/>
      <c r="K30" s="27"/>
      <c r="L30" s="27"/>
      <c r="M30" s="27"/>
      <c r="N30" s="27"/>
    </row>
    <row r="32" spans="1:62">
      <c r="AW32" t="s">
        <v>80</v>
      </c>
      <c r="AZ32" s="54">
        <f>D30</f>
        <v>18</v>
      </c>
    </row>
  </sheetData>
  <mergeCells count="14">
    <mergeCell ref="AE6:AU6"/>
    <mergeCell ref="BC6:BD6"/>
    <mergeCell ref="BE6:BG6"/>
    <mergeCell ref="BH6:BI6"/>
    <mergeCell ref="A1:N1"/>
    <mergeCell ref="A3:D3"/>
    <mergeCell ref="I3:N3"/>
    <mergeCell ref="A4:N4"/>
    <mergeCell ref="AW4:BJ4"/>
    <mergeCell ref="H6:I6"/>
    <mergeCell ref="J6:L6"/>
    <mergeCell ref="M6:N6"/>
    <mergeCell ref="O6:P6"/>
    <mergeCell ref="R6:AC6"/>
  </mergeCells>
  <pageMargins left="0.7" right="0.7" top="0.75" bottom="0.75" header="0.51180555555555496" footer="0.51180555555555496"/>
  <pageSetup paperSize="9" scale="81" firstPageNumber="0" orientation="portrait" horizontalDpi="300" verticalDpi="3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5B46-C9A0-4496-96D8-0DB72E361358}">
  <dimension ref="D1:E41"/>
  <sheetViews>
    <sheetView workbookViewId="0">
      <selection activeCell="D27" sqref="D2:D27"/>
    </sheetView>
  </sheetViews>
  <sheetFormatPr defaultRowHeight="15"/>
  <sheetData>
    <row r="1" spans="4:5">
      <c r="D1" t="s">
        <v>86</v>
      </c>
      <c r="E1" t="s">
        <v>85</v>
      </c>
    </row>
    <row r="2" spans="4:5">
      <c r="D2">
        <v>4</v>
      </c>
      <c r="E2">
        <v>1</v>
      </c>
    </row>
    <row r="3" spans="4:5">
      <c r="D3">
        <v>6</v>
      </c>
      <c r="E3">
        <v>2</v>
      </c>
    </row>
    <row r="4" spans="4:5">
      <c r="D4">
        <v>18</v>
      </c>
      <c r="E4">
        <v>3</v>
      </c>
    </row>
    <row r="5" spans="4:5">
      <c r="D5">
        <v>9</v>
      </c>
      <c r="E5">
        <v>4</v>
      </c>
    </row>
    <row r="6" spans="4:5">
      <c r="D6">
        <v>27</v>
      </c>
      <c r="E6">
        <v>5</v>
      </c>
    </row>
    <row r="7" spans="4:5">
      <c r="D7">
        <v>12</v>
      </c>
      <c r="E7">
        <v>6</v>
      </c>
    </row>
    <row r="8" spans="4:5">
      <c r="D8">
        <v>28</v>
      </c>
      <c r="E8">
        <v>7</v>
      </c>
    </row>
    <row r="9" spans="4:5">
      <c r="D9">
        <v>8</v>
      </c>
      <c r="E9">
        <v>8</v>
      </c>
    </row>
    <row r="10" spans="4:5">
      <c r="D10">
        <v>15</v>
      </c>
      <c r="E10">
        <v>9</v>
      </c>
    </row>
    <row r="11" spans="4:5">
      <c r="D11">
        <v>17</v>
      </c>
      <c r="E11">
        <v>10</v>
      </c>
    </row>
    <row r="12" spans="4:5">
      <c r="D12">
        <v>11</v>
      </c>
      <c r="E12">
        <v>11</v>
      </c>
    </row>
    <row r="13" spans="4:5">
      <c r="D13">
        <v>26</v>
      </c>
      <c r="E13">
        <v>12</v>
      </c>
    </row>
    <row r="14" spans="4:5">
      <c r="D14">
        <v>25</v>
      </c>
      <c r="E14">
        <v>13</v>
      </c>
    </row>
    <row r="15" spans="4:5">
      <c r="D15">
        <v>5</v>
      </c>
      <c r="E15">
        <v>14</v>
      </c>
    </row>
    <row r="16" spans="4:5">
      <c r="D16">
        <v>14</v>
      </c>
      <c r="E16">
        <v>15</v>
      </c>
    </row>
    <row r="17" spans="4:5">
      <c r="D17">
        <v>13</v>
      </c>
      <c r="E17">
        <v>16</v>
      </c>
    </row>
    <row r="18" spans="4:5">
      <c r="D18">
        <v>10</v>
      </c>
      <c r="E18">
        <v>17</v>
      </c>
    </row>
    <row r="19" spans="4:5">
      <c r="D19">
        <v>7</v>
      </c>
      <c r="E19">
        <v>18</v>
      </c>
    </row>
    <row r="20" spans="4:5">
      <c r="D20">
        <v>16</v>
      </c>
      <c r="E20">
        <v>19</v>
      </c>
    </row>
    <row r="21" spans="4:5">
      <c r="D21">
        <v>29</v>
      </c>
      <c r="E21">
        <v>20</v>
      </c>
    </row>
    <row r="22" spans="4:5">
      <c r="D22">
        <v>19</v>
      </c>
      <c r="E22">
        <v>21</v>
      </c>
    </row>
    <row r="23" spans="4:5">
      <c r="D23">
        <v>22</v>
      </c>
      <c r="E23">
        <v>22</v>
      </c>
    </row>
    <row r="24" spans="4:5">
      <c r="D24">
        <v>30</v>
      </c>
      <c r="E24">
        <v>23</v>
      </c>
    </row>
    <row r="25" spans="4:5">
      <c r="D25">
        <v>1</v>
      </c>
      <c r="E25">
        <v>24</v>
      </c>
    </row>
    <row r="26" spans="4:5">
      <c r="D26">
        <v>21</v>
      </c>
      <c r="E26">
        <v>25</v>
      </c>
    </row>
    <row r="27" spans="4:5">
      <c r="D27">
        <v>23</v>
      </c>
      <c r="E27">
        <v>26</v>
      </c>
    </row>
    <row r="28" spans="4:5">
      <c r="E28">
        <v>27</v>
      </c>
    </row>
    <row r="29" spans="4:5">
      <c r="E29">
        <v>28</v>
      </c>
    </row>
    <row r="30" spans="4:5">
      <c r="E30">
        <v>29</v>
      </c>
    </row>
    <row r="31" spans="4:5">
      <c r="E31">
        <v>30</v>
      </c>
    </row>
    <row r="32" spans="4:5">
      <c r="E32">
        <v>31</v>
      </c>
    </row>
    <row r="33" spans="5:5">
      <c r="E33">
        <v>32</v>
      </c>
    </row>
    <row r="34" spans="5:5">
      <c r="E34">
        <v>33</v>
      </c>
    </row>
    <row r="35" spans="5:5">
      <c r="E35">
        <v>34</v>
      </c>
    </row>
    <row r="36" spans="5:5">
      <c r="E36">
        <v>35</v>
      </c>
    </row>
    <row r="37" spans="5:5">
      <c r="E37">
        <v>36</v>
      </c>
    </row>
    <row r="38" spans="5:5">
      <c r="E38">
        <v>37</v>
      </c>
    </row>
    <row r="39" spans="5:5">
      <c r="E39">
        <v>38</v>
      </c>
    </row>
    <row r="40" spans="5:5">
      <c r="E40">
        <v>39</v>
      </c>
    </row>
    <row r="41" spans="5:5">
      <c r="E41">
        <v>40</v>
      </c>
    </row>
  </sheetData>
  <conditionalFormatting sqref="D2:D41">
    <cfRule type="duplicateValues" dxfId="0" priority="1"/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A69EA-C802-40A2-936C-D6D7B3F66A71}">
  <sheetPr>
    <pageSetUpPr fitToPage="1"/>
  </sheetPr>
  <dimension ref="A1:AU42"/>
  <sheetViews>
    <sheetView zoomScale="115" zoomScaleNormal="115" workbookViewId="0">
      <pane xSplit="5" ySplit="11" topLeftCell="F24" activePane="bottomRight" state="frozen"/>
      <selection pane="topRight"/>
      <selection pane="bottomLeft"/>
      <selection pane="bottomRight" activeCell="A5" sqref="A5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26.8554687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hidden="1" customHeight="1" outlineLevel="2">
      <c r="A1" s="95" t="s">
        <v>0</v>
      </c>
      <c r="B1" s="95"/>
      <c r="C1" s="95"/>
      <c r="D1" s="95"/>
      <c r="E1" s="95"/>
      <c r="F1" s="95"/>
      <c r="U1" s="2" t="s">
        <v>93</v>
      </c>
      <c r="AM1" s="2" t="s">
        <v>319</v>
      </c>
    </row>
    <row r="2" spans="1:47" ht="11.25" customHeight="1" collapsed="1">
      <c r="C2" s="1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52">
        <v>5</v>
      </c>
    </row>
    <row r="3" spans="1:47">
      <c r="A3" s="96" t="s">
        <v>335</v>
      </c>
      <c r="B3" s="96"/>
      <c r="C3" s="96"/>
      <c r="D3" s="96"/>
      <c r="F3" s="4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52">
        <v>3</v>
      </c>
      <c r="AN3" t="str">
        <f>A3</f>
        <v>Datum / Date: 8. 8. 2023</v>
      </c>
    </row>
    <row r="4" spans="1:47" ht="21">
      <c r="A4" s="98" t="s">
        <v>338</v>
      </c>
      <c r="B4" s="98"/>
      <c r="C4" s="98"/>
      <c r="D4" s="98"/>
      <c r="E4" s="98"/>
      <c r="F4" s="98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52">
        <v>2</v>
      </c>
      <c r="V4" s="51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52">
        <v>2</v>
      </c>
      <c r="AN4" s="99" t="str">
        <f>A4</f>
        <v>Výsledková listina / Result list - MEDISON</v>
      </c>
      <c r="AO4" s="99"/>
      <c r="AP4" s="99"/>
      <c r="AQ4" s="99"/>
      <c r="AR4" s="99"/>
      <c r="AS4" s="99"/>
      <c r="AT4" s="99"/>
      <c r="AU4" s="99"/>
    </row>
    <row r="5" spans="1:47" ht="22.5" customHeight="1">
      <c r="C5" s="1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52">
        <v>1</v>
      </c>
      <c r="V5" s="51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52">
        <v>1</v>
      </c>
    </row>
    <row r="6" spans="1:47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336</v>
      </c>
      <c r="H6" s="93"/>
      <c r="I6" s="94" t="s">
        <v>14</v>
      </c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34" t="s">
        <v>15</v>
      </c>
      <c r="V6" s="102" t="s">
        <v>16</v>
      </c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3"/>
      <c r="AM6" s="53"/>
      <c r="AN6" s="5" t="s">
        <v>3</v>
      </c>
      <c r="AO6" s="5" t="s">
        <v>4</v>
      </c>
      <c r="AP6" s="5" t="s">
        <v>6</v>
      </c>
      <c r="AQ6" s="5" t="s">
        <v>7</v>
      </c>
      <c r="AR6" s="5" t="s">
        <v>8</v>
      </c>
      <c r="AS6" s="94" t="s">
        <v>10</v>
      </c>
      <c r="AT6" s="94"/>
      <c r="AU6" s="34" t="s">
        <v>18</v>
      </c>
    </row>
    <row r="7" spans="1:47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6" t="s">
        <v>337</v>
      </c>
      <c r="H7" s="34" t="s">
        <v>92</v>
      </c>
      <c r="I7" s="34">
        <v>1</v>
      </c>
      <c r="J7" s="34">
        <v>2</v>
      </c>
      <c r="K7" s="34">
        <v>3</v>
      </c>
      <c r="L7" s="34">
        <v>4</v>
      </c>
      <c r="M7" s="34">
        <v>5</v>
      </c>
      <c r="N7" s="34">
        <v>6</v>
      </c>
      <c r="O7" s="34">
        <v>7</v>
      </c>
      <c r="P7" s="34">
        <v>8</v>
      </c>
      <c r="Q7" s="34">
        <v>9</v>
      </c>
      <c r="R7" s="34">
        <v>10</v>
      </c>
      <c r="S7" s="34">
        <v>11</v>
      </c>
      <c r="T7" s="47" t="s">
        <v>87</v>
      </c>
      <c r="U7" s="34" t="s">
        <v>27</v>
      </c>
      <c r="V7" s="28">
        <v>1</v>
      </c>
      <c r="W7" s="28">
        <v>2</v>
      </c>
      <c r="X7" s="28">
        <v>3</v>
      </c>
      <c r="Y7" s="28">
        <v>4</v>
      </c>
      <c r="Z7" s="28">
        <v>5</v>
      </c>
      <c r="AA7" s="28">
        <v>6</v>
      </c>
      <c r="AB7" s="28">
        <v>7</v>
      </c>
      <c r="AC7" s="28">
        <v>8</v>
      </c>
      <c r="AD7" s="28">
        <v>9</v>
      </c>
      <c r="AE7" s="28">
        <v>10</v>
      </c>
      <c r="AF7" s="28">
        <v>11</v>
      </c>
      <c r="AG7" s="28">
        <v>12</v>
      </c>
      <c r="AH7" s="28">
        <v>13</v>
      </c>
      <c r="AI7" s="28">
        <v>14</v>
      </c>
      <c r="AJ7" s="28">
        <v>15</v>
      </c>
      <c r="AK7" s="28">
        <v>16</v>
      </c>
      <c r="AL7" s="28">
        <v>17</v>
      </c>
      <c r="AM7" s="53"/>
      <c r="AN7" s="6" t="s">
        <v>19</v>
      </c>
      <c r="AO7" s="6" t="s">
        <v>20</v>
      </c>
      <c r="AP7" s="6" t="s">
        <v>21</v>
      </c>
      <c r="AQ7" s="6" t="s">
        <v>22</v>
      </c>
      <c r="AR7" s="6" t="s">
        <v>23</v>
      </c>
      <c r="AS7" s="34" t="s">
        <v>25</v>
      </c>
      <c r="AT7" s="34" t="s">
        <v>9</v>
      </c>
      <c r="AU7" s="34" t="s">
        <v>9</v>
      </c>
    </row>
    <row r="8" spans="1:47" ht="11.25" customHeight="1">
      <c r="C8" s="1"/>
    </row>
    <row r="9" spans="1:47" ht="15" customHeight="1">
      <c r="A9" s="8"/>
      <c r="B9" s="8"/>
      <c r="C9" s="8"/>
      <c r="D9" s="8"/>
      <c r="E9" s="8"/>
      <c r="F9" s="43" t="s">
        <v>316</v>
      </c>
      <c r="G9" s="8"/>
      <c r="H9" s="8"/>
      <c r="AN9" s="37"/>
      <c r="AO9" s="37"/>
      <c r="AP9" s="37"/>
      <c r="AQ9" s="37"/>
      <c r="AR9" s="39" t="s">
        <v>334</v>
      </c>
      <c r="AS9" s="37"/>
      <c r="AT9" s="37"/>
      <c r="AU9" s="37"/>
    </row>
    <row r="10" spans="1:47" ht="16.5" hidden="1" customHeight="1">
      <c r="A10" s="9"/>
      <c r="B10" s="9"/>
      <c r="C10" s="10"/>
      <c r="D10" s="10"/>
      <c r="E10" s="10"/>
      <c r="F10" s="10"/>
      <c r="G10" s="12"/>
      <c r="H10" s="12"/>
      <c r="I10" s="13">
        <v>1</v>
      </c>
      <c r="J10" s="13">
        <v>2</v>
      </c>
      <c r="K10" s="13">
        <v>3</v>
      </c>
      <c r="L10" s="13">
        <v>4</v>
      </c>
      <c r="M10" s="13">
        <v>5</v>
      </c>
      <c r="N10" s="13">
        <v>6</v>
      </c>
      <c r="O10" s="13">
        <v>7</v>
      </c>
      <c r="P10" s="13">
        <v>8</v>
      </c>
      <c r="Q10" s="13">
        <v>9</v>
      </c>
      <c r="R10" s="13">
        <v>10</v>
      </c>
      <c r="S10" s="13">
        <v>11</v>
      </c>
      <c r="T10" s="13">
        <v>12</v>
      </c>
      <c r="U10" s="13" t="s">
        <v>27</v>
      </c>
    </row>
    <row r="11" spans="1:47" ht="15" customHeight="1" outlineLevel="1">
      <c r="A11" s="60" t="s">
        <v>19</v>
      </c>
      <c r="B11" s="61" t="s">
        <v>20</v>
      </c>
      <c r="C11" s="61" t="s">
        <v>5</v>
      </c>
      <c r="D11" s="61" t="s">
        <v>21</v>
      </c>
      <c r="E11" s="61" t="s">
        <v>22</v>
      </c>
      <c r="F11" s="61" t="s">
        <v>23</v>
      </c>
      <c r="G11" s="62" t="s">
        <v>35</v>
      </c>
      <c r="H11" s="62" t="s">
        <v>91</v>
      </c>
      <c r="I11" s="63" t="s">
        <v>37</v>
      </c>
      <c r="J11" s="63" t="s">
        <v>38</v>
      </c>
      <c r="K11" s="63" t="s">
        <v>39</v>
      </c>
      <c r="L11" s="63" t="s">
        <v>40</v>
      </c>
      <c r="M11" s="63" t="s">
        <v>41</v>
      </c>
      <c r="N11" s="63" t="s">
        <v>42</v>
      </c>
      <c r="O11" s="63" t="s">
        <v>43</v>
      </c>
      <c r="P11" s="63" t="s">
        <v>44</v>
      </c>
      <c r="Q11" s="63" t="s">
        <v>45</v>
      </c>
      <c r="R11" s="63" t="s">
        <v>46</v>
      </c>
      <c r="S11" s="63" t="s">
        <v>47</v>
      </c>
      <c r="T11" s="63" t="s">
        <v>48</v>
      </c>
      <c r="U11" s="63" t="s">
        <v>49</v>
      </c>
      <c r="V11" s="64" t="s">
        <v>50</v>
      </c>
      <c r="W11" s="64" t="s">
        <v>51</v>
      </c>
      <c r="X11" s="64" t="s">
        <v>52</v>
      </c>
      <c r="Y11" s="64" t="s">
        <v>53</v>
      </c>
      <c r="Z11" s="64" t="s">
        <v>54</v>
      </c>
      <c r="AA11" s="64" t="s">
        <v>55</v>
      </c>
      <c r="AB11" s="64" t="s">
        <v>56</v>
      </c>
      <c r="AC11" s="64" t="s">
        <v>57</v>
      </c>
      <c r="AD11" s="64" t="s">
        <v>58</v>
      </c>
      <c r="AE11" s="64" t="s">
        <v>59</v>
      </c>
      <c r="AF11" s="64" t="s">
        <v>60</v>
      </c>
      <c r="AG11" s="64" t="s">
        <v>61</v>
      </c>
      <c r="AH11" s="64" t="s">
        <v>62</v>
      </c>
      <c r="AI11" s="64" t="s">
        <v>63</v>
      </c>
      <c r="AJ11" s="64" t="s">
        <v>64</v>
      </c>
      <c r="AK11" s="64" t="s">
        <v>65</v>
      </c>
      <c r="AL11" s="64" t="s">
        <v>66</v>
      </c>
      <c r="AM11" s="64" t="s">
        <v>88</v>
      </c>
      <c r="AN11" s="65" t="s">
        <v>67</v>
      </c>
      <c r="AO11" s="65" t="s">
        <v>68</v>
      </c>
      <c r="AP11" s="65" t="s">
        <v>69</v>
      </c>
      <c r="AQ11" s="65" t="s">
        <v>70</v>
      </c>
      <c r="AR11" s="65" t="s">
        <v>71</v>
      </c>
      <c r="AS11" s="65" t="s">
        <v>25</v>
      </c>
      <c r="AT11" s="65" t="s">
        <v>9</v>
      </c>
      <c r="AU11" s="66" t="s">
        <v>78</v>
      </c>
    </row>
    <row r="12" spans="1:47" ht="15" customHeight="1">
      <c r="A12" s="105">
        <f>RANK(Dvojice!$G12,Dvojice!$G$12:$G$39,0)</f>
        <v>1</v>
      </c>
      <c r="B12" s="111">
        <v>1</v>
      </c>
      <c r="C12" s="67">
        <v>0</v>
      </c>
      <c r="D12" s="68" t="s">
        <v>328</v>
      </c>
      <c r="E12" s="69" t="s">
        <v>165</v>
      </c>
      <c r="F12" s="70" t="s">
        <v>327</v>
      </c>
      <c r="G12" s="109">
        <f>SUM(I12:P13)+U12</f>
        <v>0</v>
      </c>
      <c r="H12" s="71">
        <f>IFERROR(VLOOKUP(Dvojice!$B12,Bodovacka!D:E,2,FALSE),"x")</f>
        <v>25</v>
      </c>
      <c r="I12" s="107" t="str">
        <f>IFERROR(VLOOKUP($B12,$I$2:$U$5,13,FALSE),"")</f>
        <v/>
      </c>
      <c r="J12" s="107" t="str">
        <f>IFERROR(VLOOKUP($B12,$J$2:$U$5,12,FALSE),"")</f>
        <v/>
      </c>
      <c r="K12" s="107" t="str">
        <f>IFERROR(VLOOKUP($B12,$K$2:$U$5,11,FALSE),"")</f>
        <v/>
      </c>
      <c r="L12" s="107" t="str">
        <f>IFERROR(VLOOKUP($B12,$L$2:$U$5,10,FALSE),"")</f>
        <v/>
      </c>
      <c r="M12" s="107" t="str">
        <f>IFERROR(VLOOKUP($B12,$M$2:$U$5,9,FALSE),"")</f>
        <v/>
      </c>
      <c r="N12" s="107" t="str">
        <f>IFERROR(VLOOKUP($B12,$N$2:$U$5,8,FALSE),"")</f>
        <v/>
      </c>
      <c r="O12" s="107" t="str">
        <f>IFERROR(VLOOKUP($B12,$O$2:$U$5,7,FALSE),"")</f>
        <v/>
      </c>
      <c r="P12" s="107" t="str">
        <f>IFERROR(VLOOKUP($B12,$P$2:$U$5,7,FALSE),"")</f>
        <v/>
      </c>
      <c r="Q12" s="72" t="str">
        <f t="shared" ref="Q12:S39" si="0">IFERROR(VLOOKUP($B12,$O$2:$U$5,7,FALSE),"")</f>
        <v/>
      </c>
      <c r="R12" s="72" t="str">
        <f t="shared" si="0"/>
        <v/>
      </c>
      <c r="S12" s="72" t="str">
        <f t="shared" si="0"/>
        <v/>
      </c>
      <c r="T12" s="72" t="str">
        <f t="shared" ref="T12:T39" si="1">IFERROR(VLOOKUP($B12,$T$2:$U$5,2,FALSE)*2,"")</f>
        <v/>
      </c>
      <c r="U12" s="107"/>
      <c r="V12" s="73">
        <v>11</v>
      </c>
      <c r="W12" s="74" t="str">
        <f t="shared" ref="W12:W39" si="2">IFERROR(VLOOKUP($B12,$W$4:$AM$5,17,FALSE),"")</f>
        <v/>
      </c>
      <c r="X12" s="74" t="str">
        <f t="shared" ref="X12:X39" si="3">IFERROR(VLOOKUP($B12,$X$4:$AM$5,16,FALSE),"")</f>
        <v/>
      </c>
      <c r="Y12" s="74" t="str">
        <f t="shared" ref="Y12:Y39" si="4">IFERROR(VLOOKUP($B12,$Y$4:$AM$5,15,FALSE),"")</f>
        <v/>
      </c>
      <c r="Z12" s="73" t="str">
        <f t="shared" ref="Z12:Z39" si="5">IFERROR(VLOOKUP($B12,$Z$4:$AM$5,14,FALSE),"")</f>
        <v/>
      </c>
      <c r="AA12" s="73" t="str">
        <f t="shared" ref="AA12:AA39" si="6">IFERROR(VLOOKUP($B12,$AA$4:$AM$5,13,FALSE),"")</f>
        <v/>
      </c>
      <c r="AB12" s="73" t="str">
        <f t="shared" ref="AB12:AB39" si="7">IFERROR(VLOOKUP($B12,$AB$4:$AM$5,12,FALSE),"")</f>
        <v/>
      </c>
      <c r="AC12" s="73" t="str">
        <f t="shared" ref="AC12:AC39" si="8">IFERROR(VLOOKUP($B12,$AC$4:$AM$5,11,FALSE),"")</f>
        <v/>
      </c>
      <c r="AD12" s="73" t="str">
        <f t="shared" ref="AD12:AD39" si="9">IFERROR(VLOOKUP($B12,$AD$4:$AM$5,10,FALSE),"")</f>
        <v/>
      </c>
      <c r="AE12" s="73" t="str">
        <f t="shared" ref="AE12:AE39" si="10">IFERROR(VLOOKUP($B12,$AE$4:$AM$5,9,FALSE),"")</f>
        <v/>
      </c>
      <c r="AF12" s="73" t="str">
        <f t="shared" ref="AF12:AF39" si="11">IFERROR(VLOOKUP($B12,$AF$4:$AM$5,8,FALSE),"")</f>
        <v/>
      </c>
      <c r="AG12" s="73" t="str">
        <f t="shared" ref="AG12:AG39" si="12">IFERROR(VLOOKUP($B12,$AG$4:$AM$5,7,FALSE),"")</f>
        <v/>
      </c>
      <c r="AH12" s="73" t="str">
        <f t="shared" ref="AH12:AH39" si="13">IFERROR(VLOOKUP($B12,$AH$4:$AM$5,6,FALSE),"")</f>
        <v/>
      </c>
      <c r="AI12" s="73" t="str">
        <f t="shared" ref="AI12:AI39" si="14">IFERROR(VLOOKUP($B12,$AI$4:$AM$5,5,FALSE),"")</f>
        <v/>
      </c>
      <c r="AJ12" s="73" t="str">
        <f t="shared" ref="AJ12:AJ39" si="15">IFERROR(VLOOKUP($B12,$AJ$4:$AM$5,4,FALSE),"")</f>
        <v/>
      </c>
      <c r="AK12" s="73" t="str">
        <f t="shared" ref="AK12:AL39" si="16">IFERROR(VLOOKUP($B12,$AK$4:$AM$5,3,FALSE),"")</f>
        <v/>
      </c>
      <c r="AL12" s="73" t="str">
        <f t="shared" si="16"/>
        <v/>
      </c>
      <c r="AM12" s="75"/>
      <c r="AN12" s="76">
        <f>Dvojice!$A12</f>
        <v>1</v>
      </c>
      <c r="AO12" s="77">
        <f>Dvojice!$B12</f>
        <v>1</v>
      </c>
      <c r="AP12" s="78" t="str">
        <f>Dvojice!$D12</f>
        <v>KŘENEK Adam</v>
      </c>
      <c r="AQ12" s="79" t="str">
        <f>Dvojice!$E12</f>
        <v>TJ Favorit Brno</v>
      </c>
      <c r="AR12" s="79" t="str">
        <f>Dvojice!$F12</f>
        <v>Melite</v>
      </c>
      <c r="AS12" s="77" t="e">
        <f>#REF!</f>
        <v>#REF!</v>
      </c>
      <c r="AT12" s="77" t="e">
        <f>#REF!</f>
        <v>#REF!</v>
      </c>
      <c r="AU12" s="80">
        <f>Dvojice!$G12</f>
        <v>0</v>
      </c>
    </row>
    <row r="13" spans="1:47" ht="15" customHeight="1">
      <c r="A13" s="106"/>
      <c r="B13" s="112"/>
      <c r="C13" s="67">
        <v>0</v>
      </c>
      <c r="D13" s="68" t="s">
        <v>330</v>
      </c>
      <c r="E13" s="69" t="s">
        <v>165</v>
      </c>
      <c r="F13" s="70" t="s">
        <v>327</v>
      </c>
      <c r="G13" s="110"/>
      <c r="H13" s="71" t="str">
        <f>IFERROR(VLOOKUP(Dvojice!$B13,Bodovacka!D:E,2,FALSE),"x")</f>
        <v>x</v>
      </c>
      <c r="I13" s="108"/>
      <c r="J13" s="108"/>
      <c r="K13" s="108"/>
      <c r="L13" s="108"/>
      <c r="M13" s="108"/>
      <c r="N13" s="108"/>
      <c r="O13" s="108"/>
      <c r="P13" s="108"/>
      <c r="Q13" s="72" t="str">
        <f t="shared" si="0"/>
        <v/>
      </c>
      <c r="R13" s="72" t="str">
        <f t="shared" si="0"/>
        <v/>
      </c>
      <c r="S13" s="72" t="str">
        <f t="shared" si="0"/>
        <v/>
      </c>
      <c r="T13" s="72" t="str">
        <f t="shared" si="1"/>
        <v/>
      </c>
      <c r="U13" s="108"/>
      <c r="V13" s="73">
        <v>4</v>
      </c>
      <c r="W13" s="81" t="str">
        <f t="shared" si="2"/>
        <v/>
      </c>
      <c r="X13" s="81" t="str">
        <f t="shared" si="3"/>
        <v/>
      </c>
      <c r="Y13" s="81" t="str">
        <f t="shared" si="4"/>
        <v/>
      </c>
      <c r="Z13" s="81" t="str">
        <f t="shared" si="5"/>
        <v/>
      </c>
      <c r="AA13" s="81" t="str">
        <f t="shared" si="6"/>
        <v/>
      </c>
      <c r="AB13" s="81" t="str">
        <f t="shared" si="7"/>
        <v/>
      </c>
      <c r="AC13" s="81" t="str">
        <f t="shared" si="8"/>
        <v/>
      </c>
      <c r="AD13" s="81" t="str">
        <f t="shared" si="9"/>
        <v/>
      </c>
      <c r="AE13" s="81" t="str">
        <f t="shared" si="10"/>
        <v/>
      </c>
      <c r="AF13" s="81" t="str">
        <f t="shared" si="11"/>
        <v/>
      </c>
      <c r="AG13" s="81" t="str">
        <f t="shared" si="12"/>
        <v/>
      </c>
      <c r="AH13" s="81" t="str">
        <f t="shared" si="13"/>
        <v/>
      </c>
      <c r="AI13" s="81" t="str">
        <f t="shared" si="14"/>
        <v/>
      </c>
      <c r="AJ13" s="81" t="str">
        <f t="shared" si="15"/>
        <v/>
      </c>
      <c r="AK13" s="81" t="str">
        <f t="shared" si="16"/>
        <v/>
      </c>
      <c r="AL13" s="81" t="str">
        <f t="shared" si="16"/>
        <v/>
      </c>
      <c r="AM13" s="82"/>
      <c r="AN13" s="76">
        <f>Dvojice!$A13</f>
        <v>0</v>
      </c>
      <c r="AO13" s="77">
        <f>Dvojice!$B13</f>
        <v>0</v>
      </c>
      <c r="AP13" s="78" t="str">
        <f>Dvojice!$D13</f>
        <v>ROTTER Michal</v>
      </c>
      <c r="AQ13" s="79" t="str">
        <f>Dvojice!$E13</f>
        <v>TJ Favorit Brno</v>
      </c>
      <c r="AR13" s="79" t="str">
        <f>Dvojice!$F13</f>
        <v>Melite</v>
      </c>
      <c r="AS13" s="77" t="e">
        <f>#REF!</f>
        <v>#REF!</v>
      </c>
      <c r="AT13" s="77" t="e">
        <f>#REF!</f>
        <v>#REF!</v>
      </c>
      <c r="AU13" s="80">
        <f>Dvojice!$G13</f>
        <v>0</v>
      </c>
    </row>
    <row r="14" spans="1:47" ht="15" customHeight="1">
      <c r="A14" s="105">
        <f>RANK(Dvojice!$G14,Dvojice!$G$12:$G$39,0)</f>
        <v>1</v>
      </c>
      <c r="B14" s="111">
        <v>2</v>
      </c>
      <c r="C14" s="67">
        <v>0</v>
      </c>
      <c r="D14" s="68" t="s">
        <v>326</v>
      </c>
      <c r="E14" s="69" t="s">
        <v>165</v>
      </c>
      <c r="F14" s="70" t="s">
        <v>327</v>
      </c>
      <c r="G14" s="109">
        <f t="shared" ref="G14" si="17">SUM(I14:P15)+U14</f>
        <v>0</v>
      </c>
      <c r="H14" s="71" t="str">
        <f>IFERROR(VLOOKUP(Dvojice!$B14,Bodovacka!D:E,2,FALSE),"x")</f>
        <v>x</v>
      </c>
      <c r="I14" s="107" t="str">
        <f t="shared" ref="I14:I39" si="18">IFERROR(VLOOKUP($B14,$I$2:$U$5,13,FALSE),"")</f>
        <v/>
      </c>
      <c r="J14" s="107" t="str">
        <f t="shared" ref="J14:J39" si="19">IFERROR(VLOOKUP($B14,$J$2:$U$5,12,FALSE),"")</f>
        <v/>
      </c>
      <c r="K14" s="107" t="str">
        <f t="shared" ref="K14:K39" si="20">IFERROR(VLOOKUP($B14,$K$2:$U$5,11,FALSE),"")</f>
        <v/>
      </c>
      <c r="L14" s="107" t="str">
        <f t="shared" ref="L14:L39" si="21">IFERROR(VLOOKUP($B14,$L$2:$U$5,10,FALSE),"")</f>
        <v/>
      </c>
      <c r="M14" s="107" t="str">
        <f t="shared" ref="M14:M39" si="22">IFERROR(VLOOKUP($B14,$M$2:$U$5,9,FALSE),"")</f>
        <v/>
      </c>
      <c r="N14" s="107" t="str">
        <f t="shared" ref="N14:N39" si="23">IFERROR(VLOOKUP($B14,$N$2:$U$5,8,FALSE),"")</f>
        <v/>
      </c>
      <c r="O14" s="107" t="str">
        <f t="shared" ref="O14:O39" si="24">IFERROR(VLOOKUP($B14,$O$2:$U$5,7,FALSE),"")</f>
        <v/>
      </c>
      <c r="P14" s="107" t="str">
        <f t="shared" ref="P14:P39" si="25">IFERROR(VLOOKUP($B14,$P$2:$U$5,7,FALSE),"")</f>
        <v/>
      </c>
      <c r="Q14" s="72" t="str">
        <f t="shared" si="0"/>
        <v/>
      </c>
      <c r="R14" s="72" t="str">
        <f t="shared" si="0"/>
        <v/>
      </c>
      <c r="S14" s="72" t="str">
        <f t="shared" si="0"/>
        <v/>
      </c>
      <c r="T14" s="72" t="str">
        <f t="shared" si="1"/>
        <v/>
      </c>
      <c r="U14" s="107"/>
      <c r="V14" s="75">
        <v>5</v>
      </c>
      <c r="W14" s="83" t="str">
        <f t="shared" si="2"/>
        <v/>
      </c>
      <c r="X14" s="83" t="str">
        <f t="shared" si="3"/>
        <v/>
      </c>
      <c r="Y14" s="83" t="str">
        <f t="shared" si="4"/>
        <v/>
      </c>
      <c r="Z14" s="82" t="str">
        <f t="shared" si="5"/>
        <v/>
      </c>
      <c r="AA14" s="82" t="str">
        <f t="shared" si="6"/>
        <v/>
      </c>
      <c r="AB14" s="82" t="str">
        <f t="shared" si="7"/>
        <v/>
      </c>
      <c r="AC14" s="82" t="str">
        <f t="shared" si="8"/>
        <v/>
      </c>
      <c r="AD14" s="82" t="str">
        <f t="shared" si="9"/>
        <v/>
      </c>
      <c r="AE14" s="82" t="str">
        <f t="shared" si="10"/>
        <v/>
      </c>
      <c r="AF14" s="82" t="str">
        <f t="shared" si="11"/>
        <v/>
      </c>
      <c r="AG14" s="82" t="str">
        <f t="shared" si="12"/>
        <v/>
      </c>
      <c r="AH14" s="82" t="str">
        <f t="shared" si="13"/>
        <v/>
      </c>
      <c r="AI14" s="82" t="str">
        <f t="shared" si="14"/>
        <v/>
      </c>
      <c r="AJ14" s="82" t="str">
        <f t="shared" si="15"/>
        <v/>
      </c>
      <c r="AK14" s="82" t="str">
        <f t="shared" si="16"/>
        <v/>
      </c>
      <c r="AL14" s="82" t="str">
        <f t="shared" si="16"/>
        <v/>
      </c>
      <c r="AM14" s="82"/>
      <c r="AN14" s="76">
        <f>Dvojice!$A14</f>
        <v>1</v>
      </c>
      <c r="AO14" s="77">
        <f>Dvojice!$B14</f>
        <v>2</v>
      </c>
      <c r="AP14" s="78" t="str">
        <f>Dvojice!$D14</f>
        <v>ŠIROKÝ Štěpán</v>
      </c>
      <c r="AQ14" s="79" t="str">
        <f>Dvojice!$E14</f>
        <v>TJ Favorit Brno</v>
      </c>
      <c r="AR14" s="79" t="str">
        <f>Dvojice!$F14</f>
        <v>Melite</v>
      </c>
      <c r="AS14" s="77" t="e">
        <f>#REF!</f>
        <v>#REF!</v>
      </c>
      <c r="AT14" s="77" t="e">
        <f>#REF!</f>
        <v>#REF!</v>
      </c>
      <c r="AU14" s="80">
        <f>Dvojice!$G14</f>
        <v>0</v>
      </c>
    </row>
    <row r="15" spans="1:47" ht="15" customHeight="1">
      <c r="A15" s="106"/>
      <c r="B15" s="112"/>
      <c r="C15" s="67">
        <v>0</v>
      </c>
      <c r="D15" s="68" t="s">
        <v>309</v>
      </c>
      <c r="E15" s="69" t="s">
        <v>165</v>
      </c>
      <c r="F15" s="70" t="s">
        <v>327</v>
      </c>
      <c r="G15" s="110"/>
      <c r="H15" s="71" t="str">
        <f>IFERROR(VLOOKUP(Dvojice!$B15,Bodovacka!D:E,2,FALSE),"x")</f>
        <v>x</v>
      </c>
      <c r="I15" s="108" t="str">
        <f t="shared" si="18"/>
        <v/>
      </c>
      <c r="J15" s="108" t="str">
        <f t="shared" si="19"/>
        <v/>
      </c>
      <c r="K15" s="108" t="str">
        <f t="shared" si="20"/>
        <v/>
      </c>
      <c r="L15" s="108" t="str">
        <f t="shared" si="21"/>
        <v/>
      </c>
      <c r="M15" s="108" t="str">
        <f t="shared" si="22"/>
        <v/>
      </c>
      <c r="N15" s="108" t="str">
        <f t="shared" si="23"/>
        <v/>
      </c>
      <c r="O15" s="108" t="str">
        <f t="shared" si="24"/>
        <v/>
      </c>
      <c r="P15" s="108" t="str">
        <f t="shared" si="25"/>
        <v/>
      </c>
      <c r="Q15" s="72" t="str">
        <f t="shared" si="0"/>
        <v/>
      </c>
      <c r="R15" s="72" t="str">
        <f t="shared" si="0"/>
        <v/>
      </c>
      <c r="S15" s="72" t="str">
        <f t="shared" si="0"/>
        <v/>
      </c>
      <c r="T15" s="72" t="str">
        <f t="shared" si="1"/>
        <v/>
      </c>
      <c r="U15" s="108"/>
      <c r="V15" s="75">
        <v>3</v>
      </c>
      <c r="W15" s="84" t="str">
        <f t="shared" si="2"/>
        <v/>
      </c>
      <c r="X15" s="84" t="str">
        <f t="shared" si="3"/>
        <v/>
      </c>
      <c r="Y15" s="84" t="str">
        <f t="shared" si="4"/>
        <v/>
      </c>
      <c r="Z15" s="84" t="str">
        <f t="shared" si="5"/>
        <v/>
      </c>
      <c r="AA15" s="84" t="str">
        <f t="shared" si="6"/>
        <v/>
      </c>
      <c r="AB15" s="84" t="str">
        <f t="shared" si="7"/>
        <v/>
      </c>
      <c r="AC15" s="84" t="str">
        <f t="shared" si="8"/>
        <v/>
      </c>
      <c r="AD15" s="84" t="str">
        <f t="shared" si="9"/>
        <v/>
      </c>
      <c r="AE15" s="84" t="str">
        <f t="shared" si="10"/>
        <v/>
      </c>
      <c r="AF15" s="84" t="str">
        <f t="shared" si="11"/>
        <v/>
      </c>
      <c r="AG15" s="84" t="str">
        <f t="shared" si="12"/>
        <v/>
      </c>
      <c r="AH15" s="84" t="str">
        <f t="shared" si="13"/>
        <v/>
      </c>
      <c r="AI15" s="72" t="str">
        <f t="shared" si="14"/>
        <v/>
      </c>
      <c r="AJ15" s="85" t="str">
        <f t="shared" si="15"/>
        <v/>
      </c>
      <c r="AK15" s="84" t="str">
        <f t="shared" si="16"/>
        <v/>
      </c>
      <c r="AL15" s="84" t="str">
        <f t="shared" si="16"/>
        <v/>
      </c>
      <c r="AM15" s="82"/>
      <c r="AN15" s="76">
        <f>Dvojice!$A15</f>
        <v>0</v>
      </c>
      <c r="AO15" s="77">
        <f>Dvojice!$B15</f>
        <v>0</v>
      </c>
      <c r="AP15" s="78" t="str">
        <f>Dvojice!$D15</f>
        <v>PADĚLEK Viktor</v>
      </c>
      <c r="AQ15" s="79" t="str">
        <f>Dvojice!$E15</f>
        <v>TJ Favorit Brno</v>
      </c>
      <c r="AR15" s="79" t="str">
        <f>Dvojice!$F15</f>
        <v>Melite</v>
      </c>
      <c r="AS15" s="77" t="e">
        <f>#REF!</f>
        <v>#REF!</v>
      </c>
      <c r="AT15" s="77" t="e">
        <f>#REF!</f>
        <v>#REF!</v>
      </c>
      <c r="AU15" s="80">
        <f>Dvojice!$G15</f>
        <v>0</v>
      </c>
    </row>
    <row r="16" spans="1:47" ht="15" customHeight="1">
      <c r="A16" s="105">
        <f>RANK(Dvojice!$G16,Dvojice!$G$12:$G$39,0)</f>
        <v>1</v>
      </c>
      <c r="B16" s="111">
        <v>4</v>
      </c>
      <c r="C16" s="67">
        <v>0</v>
      </c>
      <c r="D16" s="68" t="s">
        <v>329</v>
      </c>
      <c r="E16" s="69" t="s">
        <v>165</v>
      </c>
      <c r="F16" s="70" t="s">
        <v>327</v>
      </c>
      <c r="G16" s="109">
        <f t="shared" ref="G16" si="26">SUM(I16:P17)+U16</f>
        <v>0</v>
      </c>
      <c r="H16" s="71">
        <f>IFERROR(VLOOKUP(Dvojice!$B16,Bodovacka!D:E,2,FALSE),"x")</f>
        <v>1</v>
      </c>
      <c r="I16" s="107" t="str">
        <f t="shared" si="18"/>
        <v/>
      </c>
      <c r="J16" s="107" t="str">
        <f t="shared" si="19"/>
        <v/>
      </c>
      <c r="K16" s="107" t="str">
        <f t="shared" si="20"/>
        <v/>
      </c>
      <c r="L16" s="107" t="str">
        <f t="shared" si="21"/>
        <v/>
      </c>
      <c r="M16" s="107" t="str">
        <f t="shared" si="22"/>
        <v/>
      </c>
      <c r="N16" s="107" t="str">
        <f t="shared" si="23"/>
        <v/>
      </c>
      <c r="O16" s="107" t="str">
        <f t="shared" si="24"/>
        <v/>
      </c>
      <c r="P16" s="107" t="str">
        <f t="shared" si="25"/>
        <v/>
      </c>
      <c r="Q16" s="72" t="str">
        <f t="shared" si="0"/>
        <v/>
      </c>
      <c r="R16" s="72" t="str">
        <f t="shared" si="0"/>
        <v/>
      </c>
      <c r="S16" s="72" t="str">
        <f t="shared" si="0"/>
        <v/>
      </c>
      <c r="T16" s="72" t="str">
        <f t="shared" si="1"/>
        <v/>
      </c>
      <c r="U16" s="107"/>
      <c r="V16" s="75">
        <v>1</v>
      </c>
      <c r="W16" s="82" t="str">
        <f t="shared" si="2"/>
        <v/>
      </c>
      <c r="X16" s="82" t="str">
        <f t="shared" si="3"/>
        <v/>
      </c>
      <c r="Y16" s="82" t="str">
        <f t="shared" si="4"/>
        <v/>
      </c>
      <c r="Z16" s="82" t="str">
        <f t="shared" si="5"/>
        <v/>
      </c>
      <c r="AA16" s="82" t="str">
        <f t="shared" si="6"/>
        <v/>
      </c>
      <c r="AB16" s="82" t="str">
        <f t="shared" si="7"/>
        <v/>
      </c>
      <c r="AC16" s="82" t="str">
        <f t="shared" si="8"/>
        <v/>
      </c>
      <c r="AD16" s="82" t="str">
        <f t="shared" si="9"/>
        <v/>
      </c>
      <c r="AE16" s="82" t="str">
        <f t="shared" si="10"/>
        <v/>
      </c>
      <c r="AF16" s="82" t="str">
        <f t="shared" si="11"/>
        <v/>
      </c>
      <c r="AG16" s="82" t="str">
        <f t="shared" si="12"/>
        <v/>
      </c>
      <c r="AH16" s="82" t="str">
        <f t="shared" si="13"/>
        <v/>
      </c>
      <c r="AI16" s="81" t="str">
        <f t="shared" si="14"/>
        <v/>
      </c>
      <c r="AJ16" s="82" t="str">
        <f t="shared" si="15"/>
        <v/>
      </c>
      <c r="AK16" s="82" t="str">
        <f t="shared" si="16"/>
        <v/>
      </c>
      <c r="AL16" s="82" t="str">
        <f t="shared" si="16"/>
        <v/>
      </c>
      <c r="AM16" s="82"/>
      <c r="AN16" s="76">
        <f>Dvojice!$A16</f>
        <v>1</v>
      </c>
      <c r="AO16" s="77">
        <f>Dvojice!$B16</f>
        <v>4</v>
      </c>
      <c r="AP16" s="78" t="str">
        <f>Dvojice!$D16</f>
        <v>VENC Adam</v>
      </c>
      <c r="AQ16" s="79" t="str">
        <f>Dvojice!$E16</f>
        <v>TJ Favorit Brno</v>
      </c>
      <c r="AR16" s="79" t="str">
        <f>Dvojice!$F16</f>
        <v>Melite</v>
      </c>
      <c r="AS16" s="77" t="e">
        <f>#REF!</f>
        <v>#REF!</v>
      </c>
      <c r="AT16" s="77" t="e">
        <f>#REF!</f>
        <v>#REF!</v>
      </c>
      <c r="AU16" s="80">
        <f>Dvojice!$G16</f>
        <v>0</v>
      </c>
    </row>
    <row r="17" spans="1:47">
      <c r="A17" s="106">
        <f>RANK(Dvojice!$G17,Dvojice!$G$12:$G$39,0)</f>
        <v>1</v>
      </c>
      <c r="B17" s="112">
        <v>9</v>
      </c>
      <c r="C17" s="67">
        <v>10065496101</v>
      </c>
      <c r="D17" s="68" t="s">
        <v>306</v>
      </c>
      <c r="E17" s="69" t="s">
        <v>321</v>
      </c>
      <c r="F17" s="70" t="s">
        <v>323</v>
      </c>
      <c r="G17" s="110"/>
      <c r="H17" s="71">
        <f>IFERROR(VLOOKUP(Dvojice!$B17,Bodovacka!D:E,2,FALSE),"x")</f>
        <v>12</v>
      </c>
      <c r="I17" s="108" t="str">
        <f t="shared" si="18"/>
        <v/>
      </c>
      <c r="J17" s="108" t="str">
        <f t="shared" si="19"/>
        <v/>
      </c>
      <c r="K17" s="108" t="str">
        <f t="shared" si="20"/>
        <v/>
      </c>
      <c r="L17" s="108" t="str">
        <f t="shared" si="21"/>
        <v/>
      </c>
      <c r="M17" s="108" t="str">
        <f t="shared" si="22"/>
        <v/>
      </c>
      <c r="N17" s="108" t="str">
        <f t="shared" si="23"/>
        <v/>
      </c>
      <c r="O17" s="108" t="str">
        <f t="shared" si="24"/>
        <v/>
      </c>
      <c r="P17" s="108" t="str">
        <f t="shared" si="25"/>
        <v/>
      </c>
      <c r="Q17" s="72" t="str">
        <f t="shared" si="0"/>
        <v/>
      </c>
      <c r="R17" s="72" t="str">
        <f t="shared" si="0"/>
        <v/>
      </c>
      <c r="S17" s="72" t="str">
        <f t="shared" si="0"/>
        <v/>
      </c>
      <c r="T17" s="72" t="str">
        <f t="shared" si="1"/>
        <v/>
      </c>
      <c r="U17" s="108"/>
      <c r="V17" s="75">
        <v>2</v>
      </c>
      <c r="W17" s="82" t="str">
        <f t="shared" si="2"/>
        <v/>
      </c>
      <c r="X17" s="82" t="str">
        <f t="shared" si="3"/>
        <v/>
      </c>
      <c r="Y17" s="82" t="str">
        <f t="shared" si="4"/>
        <v/>
      </c>
      <c r="Z17" s="82" t="str">
        <f t="shared" si="5"/>
        <v/>
      </c>
      <c r="AA17" s="82" t="str">
        <f t="shared" si="6"/>
        <v/>
      </c>
      <c r="AB17" s="82" t="str">
        <f t="shared" si="7"/>
        <v/>
      </c>
      <c r="AC17" s="82" t="str">
        <f t="shared" si="8"/>
        <v/>
      </c>
      <c r="AD17" s="82" t="str">
        <f t="shared" si="9"/>
        <v/>
      </c>
      <c r="AE17" s="82" t="str">
        <f t="shared" si="10"/>
        <v/>
      </c>
      <c r="AF17" s="82" t="str">
        <f t="shared" si="11"/>
        <v/>
      </c>
      <c r="AG17" s="82" t="str">
        <f t="shared" si="12"/>
        <v/>
      </c>
      <c r="AH17" s="82" t="str">
        <f t="shared" si="13"/>
        <v/>
      </c>
      <c r="AI17" s="82" t="str">
        <f t="shared" si="14"/>
        <v/>
      </c>
      <c r="AJ17" s="82" t="str">
        <f t="shared" si="15"/>
        <v/>
      </c>
      <c r="AK17" s="82" t="str">
        <f t="shared" si="16"/>
        <v/>
      </c>
      <c r="AL17" s="82" t="str">
        <f t="shared" si="16"/>
        <v/>
      </c>
      <c r="AM17" s="82"/>
      <c r="AN17" s="76">
        <f>Dvojice!$A17</f>
        <v>1</v>
      </c>
      <c r="AO17" s="77">
        <f>Dvojice!$B17</f>
        <v>9</v>
      </c>
      <c r="AP17" s="78" t="str">
        <f>Dvojice!$D17</f>
        <v>HAĽAK Adam</v>
      </c>
      <c r="AQ17" s="79" t="str">
        <f>Dvojice!$E17</f>
        <v>ŠK ŽELEZIARNE PODBREZOVÁ</v>
      </c>
      <c r="AR17" s="79" t="str">
        <f>Dvojice!$F17</f>
        <v>U19</v>
      </c>
      <c r="AS17" s="77" t="e">
        <f>#REF!</f>
        <v>#REF!</v>
      </c>
      <c r="AT17" s="77" t="e">
        <f>#REF!</f>
        <v>#REF!</v>
      </c>
      <c r="AU17" s="80">
        <f>Dvojice!$G17</f>
        <v>0</v>
      </c>
    </row>
    <row r="18" spans="1:47">
      <c r="A18" s="105">
        <f>RANK(Dvojice!$G18,Dvojice!$G$12:$G$39,0)</f>
        <v>1</v>
      </c>
      <c r="B18" s="111">
        <v>11</v>
      </c>
      <c r="C18" s="67">
        <v>10116059369</v>
      </c>
      <c r="D18" s="68" t="s">
        <v>298</v>
      </c>
      <c r="E18" s="69" t="s">
        <v>247</v>
      </c>
      <c r="F18" s="70" t="s">
        <v>323</v>
      </c>
      <c r="G18" s="109">
        <f t="shared" ref="G18" si="27">SUM(I18:P19)+U18</f>
        <v>0</v>
      </c>
      <c r="H18" s="71">
        <f>IFERROR(VLOOKUP(Dvojice!$B18,Bodovacka!D:E,2,FALSE),"x")</f>
        <v>5</v>
      </c>
      <c r="I18" s="107" t="str">
        <f t="shared" si="18"/>
        <v/>
      </c>
      <c r="J18" s="107" t="str">
        <f t="shared" si="19"/>
        <v/>
      </c>
      <c r="K18" s="107" t="str">
        <f t="shared" si="20"/>
        <v/>
      </c>
      <c r="L18" s="107" t="str">
        <f t="shared" si="21"/>
        <v/>
      </c>
      <c r="M18" s="107" t="str">
        <f t="shared" si="22"/>
        <v/>
      </c>
      <c r="N18" s="107" t="str">
        <f t="shared" si="23"/>
        <v/>
      </c>
      <c r="O18" s="107" t="str">
        <f t="shared" si="24"/>
        <v/>
      </c>
      <c r="P18" s="107" t="str">
        <f t="shared" si="25"/>
        <v/>
      </c>
      <c r="Q18" s="72" t="str">
        <f t="shared" si="0"/>
        <v/>
      </c>
      <c r="R18" s="72" t="str">
        <f t="shared" si="0"/>
        <v/>
      </c>
      <c r="S18" s="72" t="str">
        <f t="shared" si="0"/>
        <v/>
      </c>
      <c r="T18" s="72" t="str">
        <f t="shared" si="1"/>
        <v/>
      </c>
      <c r="U18" s="107"/>
      <c r="V18" s="75" t="str">
        <f>IFERROR(VLOOKUP($B18,$V$4:$AM$5,18,FALSE),"")</f>
        <v/>
      </c>
      <c r="W18" s="82" t="str">
        <f t="shared" si="2"/>
        <v/>
      </c>
      <c r="X18" s="82" t="str">
        <f t="shared" si="3"/>
        <v/>
      </c>
      <c r="Y18" s="82" t="str">
        <f t="shared" si="4"/>
        <v/>
      </c>
      <c r="Z18" s="82" t="str">
        <f t="shared" si="5"/>
        <v/>
      </c>
      <c r="AA18" s="82" t="str">
        <f t="shared" si="6"/>
        <v/>
      </c>
      <c r="AB18" s="82" t="str">
        <f t="shared" si="7"/>
        <v/>
      </c>
      <c r="AC18" s="82" t="str">
        <f t="shared" si="8"/>
        <v/>
      </c>
      <c r="AD18" s="82" t="str">
        <f t="shared" si="9"/>
        <v/>
      </c>
      <c r="AE18" s="82" t="str">
        <f t="shared" si="10"/>
        <v/>
      </c>
      <c r="AF18" s="82" t="str">
        <f t="shared" si="11"/>
        <v/>
      </c>
      <c r="AG18" s="82" t="str">
        <f t="shared" si="12"/>
        <v/>
      </c>
      <c r="AH18" s="82" t="str">
        <f t="shared" si="13"/>
        <v/>
      </c>
      <c r="AI18" s="82" t="str">
        <f t="shared" si="14"/>
        <v/>
      </c>
      <c r="AJ18" s="82" t="str">
        <f t="shared" si="15"/>
        <v/>
      </c>
      <c r="AK18" s="82" t="str">
        <f t="shared" si="16"/>
        <v/>
      </c>
      <c r="AL18" s="82" t="str">
        <f t="shared" si="16"/>
        <v/>
      </c>
      <c r="AM18" s="82"/>
      <c r="AN18" s="76">
        <f>Dvojice!$A18</f>
        <v>1</v>
      </c>
      <c r="AO18" s="77">
        <f>Dvojice!$B18</f>
        <v>11</v>
      </c>
      <c r="AP18" s="78" t="str">
        <f>Dvojice!$D18</f>
        <v>MEČÍR Michal</v>
      </c>
      <c r="AQ18" s="79" t="str">
        <f>Dvojice!$E18</f>
        <v>CK Olympik Trnava</v>
      </c>
      <c r="AR18" s="79" t="str">
        <f>Dvojice!$F18</f>
        <v>U19</v>
      </c>
      <c r="AS18" s="77" t="e">
        <f>#REF!</f>
        <v>#REF!</v>
      </c>
      <c r="AT18" s="77" t="e">
        <f>#REF!</f>
        <v>#REF!</v>
      </c>
      <c r="AU18" s="80">
        <f>Dvojice!$G18</f>
        <v>0</v>
      </c>
    </row>
    <row r="19" spans="1:47">
      <c r="A19" s="106">
        <f>RANK(Dvojice!$G19,Dvojice!$G$12:$G$39,0)</f>
        <v>1</v>
      </c>
      <c r="B19" s="112">
        <v>10</v>
      </c>
      <c r="C19" s="67">
        <v>10065802659</v>
      </c>
      <c r="D19" s="68" t="s">
        <v>324</v>
      </c>
      <c r="E19" s="69" t="s">
        <v>320</v>
      </c>
      <c r="F19" s="70" t="s">
        <v>323</v>
      </c>
      <c r="G19" s="110"/>
      <c r="H19" s="71">
        <f>IFERROR(VLOOKUP(Dvojice!$B19,Bodovacka!D:E,2,FALSE),"x")</f>
        <v>17</v>
      </c>
      <c r="I19" s="108" t="str">
        <f t="shared" si="18"/>
        <v/>
      </c>
      <c r="J19" s="108" t="str">
        <f t="shared" si="19"/>
        <v/>
      </c>
      <c r="K19" s="108" t="str">
        <f t="shared" si="20"/>
        <v/>
      </c>
      <c r="L19" s="108" t="str">
        <f t="shared" si="21"/>
        <v/>
      </c>
      <c r="M19" s="108" t="str">
        <f t="shared" si="22"/>
        <v/>
      </c>
      <c r="N19" s="108" t="str">
        <f t="shared" si="23"/>
        <v/>
      </c>
      <c r="O19" s="108" t="str">
        <f t="shared" si="24"/>
        <v/>
      </c>
      <c r="P19" s="108" t="str">
        <f t="shared" si="25"/>
        <v/>
      </c>
      <c r="Q19" s="72" t="str">
        <f t="shared" si="0"/>
        <v/>
      </c>
      <c r="R19" s="72" t="str">
        <f t="shared" si="0"/>
        <v/>
      </c>
      <c r="S19" s="72" t="str">
        <f t="shared" si="0"/>
        <v/>
      </c>
      <c r="T19" s="72" t="str">
        <f t="shared" si="1"/>
        <v/>
      </c>
      <c r="U19" s="108"/>
      <c r="V19" s="75" t="str">
        <f>IFERROR(VLOOKUP($B19,$V$4:$AM$5,18,FALSE),"")</f>
        <v/>
      </c>
      <c r="W19" s="82" t="str">
        <f t="shared" si="2"/>
        <v/>
      </c>
      <c r="X19" s="82" t="str">
        <f t="shared" si="3"/>
        <v/>
      </c>
      <c r="Y19" s="82" t="str">
        <f t="shared" si="4"/>
        <v/>
      </c>
      <c r="Z19" s="82" t="str">
        <f t="shared" si="5"/>
        <v/>
      </c>
      <c r="AA19" s="82" t="str">
        <f t="shared" si="6"/>
        <v/>
      </c>
      <c r="AB19" s="82" t="str">
        <f t="shared" si="7"/>
        <v/>
      </c>
      <c r="AC19" s="82" t="str">
        <f t="shared" si="8"/>
        <v/>
      </c>
      <c r="AD19" s="82" t="str">
        <f t="shared" si="9"/>
        <v/>
      </c>
      <c r="AE19" s="82" t="str">
        <f t="shared" si="10"/>
        <v/>
      </c>
      <c r="AF19" s="82" t="str">
        <f t="shared" si="11"/>
        <v/>
      </c>
      <c r="AG19" s="82" t="str">
        <f t="shared" si="12"/>
        <v/>
      </c>
      <c r="AH19" s="82" t="str">
        <f t="shared" si="13"/>
        <v/>
      </c>
      <c r="AI19" s="82" t="str">
        <f t="shared" si="14"/>
        <v/>
      </c>
      <c r="AJ19" s="82" t="str">
        <f t="shared" si="15"/>
        <v/>
      </c>
      <c r="AK19" s="82" t="str">
        <f t="shared" si="16"/>
        <v/>
      </c>
      <c r="AL19" s="82" t="str">
        <f t="shared" si="16"/>
        <v/>
      </c>
      <c r="AM19" s="82"/>
      <c r="AN19" s="76">
        <f>Dvojice!$A19</f>
        <v>1</v>
      </c>
      <c r="AO19" s="77">
        <f>Dvojice!$B19</f>
        <v>10</v>
      </c>
      <c r="AP19" s="78" t="str">
        <f>Dvojice!$D19</f>
        <v>HAJDÚCH Martin</v>
      </c>
      <c r="AQ19" s="79" t="str">
        <f>Dvojice!$E19</f>
        <v>Akadémie Petra Sagana</v>
      </c>
      <c r="AR19" s="79" t="str">
        <f>Dvojice!$F19</f>
        <v>U19</v>
      </c>
      <c r="AS19" s="77" t="e">
        <f>#REF!</f>
        <v>#REF!</v>
      </c>
      <c r="AT19" s="77" t="e">
        <f>#REF!</f>
        <v>#REF!</v>
      </c>
      <c r="AU19" s="80">
        <f>Dvojice!$G19</f>
        <v>0</v>
      </c>
    </row>
    <row r="20" spans="1:47">
      <c r="A20" s="105">
        <f>RANK(Dvojice!$G20,Dvojice!$G$12:$G$39,0)</f>
        <v>1</v>
      </c>
      <c r="B20" s="111">
        <v>8</v>
      </c>
      <c r="C20" s="67">
        <v>0</v>
      </c>
      <c r="D20" s="68" t="s">
        <v>332</v>
      </c>
      <c r="E20" s="69" t="s">
        <v>333</v>
      </c>
      <c r="F20" s="70" t="s">
        <v>323</v>
      </c>
      <c r="G20" s="109">
        <f t="shared" ref="G20" si="28">SUM(I20:P21)+U20</f>
        <v>0</v>
      </c>
      <c r="H20" s="71">
        <f>IFERROR(VLOOKUP(Dvojice!$B20,Bodovacka!D:E,2,FALSE),"x")</f>
        <v>13</v>
      </c>
      <c r="I20" s="107" t="str">
        <f t="shared" si="18"/>
        <v/>
      </c>
      <c r="J20" s="107" t="str">
        <f t="shared" si="19"/>
        <v/>
      </c>
      <c r="K20" s="107" t="str">
        <f t="shared" si="20"/>
        <v/>
      </c>
      <c r="L20" s="107" t="str">
        <f t="shared" si="21"/>
        <v/>
      </c>
      <c r="M20" s="107" t="str">
        <f t="shared" si="22"/>
        <v/>
      </c>
      <c r="N20" s="107" t="str">
        <f t="shared" si="23"/>
        <v/>
      </c>
      <c r="O20" s="107" t="str">
        <f t="shared" si="24"/>
        <v/>
      </c>
      <c r="P20" s="107" t="str">
        <f t="shared" si="25"/>
        <v/>
      </c>
      <c r="Q20" s="72" t="str">
        <f t="shared" si="0"/>
        <v/>
      </c>
      <c r="R20" s="72" t="str">
        <f t="shared" si="0"/>
        <v/>
      </c>
      <c r="S20" s="72" t="str">
        <f t="shared" si="0"/>
        <v/>
      </c>
      <c r="T20" s="72" t="str">
        <f t="shared" si="1"/>
        <v/>
      </c>
      <c r="U20" s="107"/>
      <c r="V20" s="75">
        <v>1</v>
      </c>
      <c r="W20" s="82" t="str">
        <f t="shared" si="2"/>
        <v/>
      </c>
      <c r="X20" s="82" t="str">
        <f t="shared" si="3"/>
        <v/>
      </c>
      <c r="Y20" s="82" t="str">
        <f t="shared" si="4"/>
        <v/>
      </c>
      <c r="Z20" s="82" t="str">
        <f t="shared" si="5"/>
        <v/>
      </c>
      <c r="AA20" s="82" t="str">
        <f t="shared" si="6"/>
        <v/>
      </c>
      <c r="AB20" s="82" t="str">
        <f t="shared" si="7"/>
        <v/>
      </c>
      <c r="AC20" s="82" t="str">
        <f t="shared" si="8"/>
        <v/>
      </c>
      <c r="AD20" s="82" t="str">
        <f t="shared" si="9"/>
        <v/>
      </c>
      <c r="AE20" s="82" t="str">
        <f t="shared" si="10"/>
        <v/>
      </c>
      <c r="AF20" s="82" t="str">
        <f t="shared" si="11"/>
        <v/>
      </c>
      <c r="AG20" s="82" t="str">
        <f t="shared" si="12"/>
        <v/>
      </c>
      <c r="AH20" s="82" t="str">
        <f t="shared" si="13"/>
        <v/>
      </c>
      <c r="AI20" s="82" t="str">
        <f t="shared" si="14"/>
        <v/>
      </c>
      <c r="AJ20" s="82" t="str">
        <f t="shared" si="15"/>
        <v/>
      </c>
      <c r="AK20" s="82" t="str">
        <f t="shared" si="16"/>
        <v/>
      </c>
      <c r="AL20" s="82" t="str">
        <f t="shared" si="16"/>
        <v/>
      </c>
      <c r="AM20" s="82"/>
      <c r="AN20" s="76">
        <f>Dvojice!$A20</f>
        <v>1</v>
      </c>
      <c r="AO20" s="77">
        <f>Dvojice!$B20</f>
        <v>8</v>
      </c>
      <c r="AP20" s="78" t="str">
        <f>Dvojice!$D20</f>
        <v>HUŇA Mario</v>
      </c>
      <c r="AQ20" s="79" t="str">
        <f>Dvojice!$E20</f>
        <v>Cycling Academy Trenčín</v>
      </c>
      <c r="AR20" s="79" t="str">
        <f>Dvojice!$F20</f>
        <v>U19</v>
      </c>
      <c r="AS20" s="77" t="e">
        <f>#REF!</f>
        <v>#REF!</v>
      </c>
      <c r="AT20" s="77" t="e">
        <f>#REF!</f>
        <v>#REF!</v>
      </c>
      <c r="AU20" s="80">
        <f>Dvojice!$G20</f>
        <v>0</v>
      </c>
    </row>
    <row r="21" spans="1:47">
      <c r="A21" s="106">
        <f>RANK(Dvojice!$G21,Dvojice!$G$12:$G$39,0)</f>
        <v>1</v>
      </c>
      <c r="B21" s="112">
        <v>6</v>
      </c>
      <c r="C21" s="67">
        <v>0</v>
      </c>
      <c r="D21" s="68" t="s">
        <v>325</v>
      </c>
      <c r="E21" s="69" t="s">
        <v>165</v>
      </c>
      <c r="F21" s="70" t="s">
        <v>323</v>
      </c>
      <c r="G21" s="110"/>
      <c r="H21" s="71">
        <f>IFERROR(VLOOKUP(Dvojice!$B21,Bodovacka!D:E,2,FALSE),"x")</f>
        <v>11</v>
      </c>
      <c r="I21" s="108" t="str">
        <f t="shared" si="18"/>
        <v/>
      </c>
      <c r="J21" s="108" t="str">
        <f t="shared" si="19"/>
        <v/>
      </c>
      <c r="K21" s="108" t="str">
        <f t="shared" si="20"/>
        <v/>
      </c>
      <c r="L21" s="108" t="str">
        <f t="shared" si="21"/>
        <v/>
      </c>
      <c r="M21" s="108" t="str">
        <f t="shared" si="22"/>
        <v/>
      </c>
      <c r="N21" s="108" t="str">
        <f t="shared" si="23"/>
        <v/>
      </c>
      <c r="O21" s="108" t="str">
        <f t="shared" si="24"/>
        <v/>
      </c>
      <c r="P21" s="108" t="str">
        <f t="shared" si="25"/>
        <v/>
      </c>
      <c r="Q21" s="72" t="str">
        <f t="shared" si="0"/>
        <v/>
      </c>
      <c r="R21" s="72" t="str">
        <f t="shared" si="0"/>
        <v/>
      </c>
      <c r="S21" s="72" t="str">
        <f t="shared" si="0"/>
        <v/>
      </c>
      <c r="T21" s="72" t="str">
        <f t="shared" si="1"/>
        <v/>
      </c>
      <c r="U21" s="108"/>
      <c r="V21" s="75" t="str">
        <f t="shared" ref="V21:V39" si="29">IFERROR(VLOOKUP($B21,$V$4:$AM$5,18,FALSE),"")</f>
        <v/>
      </c>
      <c r="W21" s="82" t="str">
        <f t="shared" si="2"/>
        <v/>
      </c>
      <c r="X21" s="82" t="str">
        <f t="shared" si="3"/>
        <v/>
      </c>
      <c r="Y21" s="82" t="str">
        <f t="shared" si="4"/>
        <v/>
      </c>
      <c r="Z21" s="82" t="str">
        <f t="shared" si="5"/>
        <v/>
      </c>
      <c r="AA21" s="82" t="str">
        <f t="shared" si="6"/>
        <v/>
      </c>
      <c r="AB21" s="82" t="str">
        <f t="shared" si="7"/>
        <v/>
      </c>
      <c r="AC21" s="82" t="str">
        <f t="shared" si="8"/>
        <v/>
      </c>
      <c r="AD21" s="82" t="str">
        <f t="shared" si="9"/>
        <v/>
      </c>
      <c r="AE21" s="82" t="str">
        <f t="shared" si="10"/>
        <v/>
      </c>
      <c r="AF21" s="82" t="str">
        <f t="shared" si="11"/>
        <v/>
      </c>
      <c r="AG21" s="82" t="str">
        <f t="shared" si="12"/>
        <v/>
      </c>
      <c r="AH21" s="82" t="str">
        <f t="shared" si="13"/>
        <v/>
      </c>
      <c r="AI21" s="82" t="str">
        <f t="shared" si="14"/>
        <v/>
      </c>
      <c r="AJ21" s="82" t="str">
        <f t="shared" si="15"/>
        <v/>
      </c>
      <c r="AK21" s="82" t="str">
        <f t="shared" si="16"/>
        <v/>
      </c>
      <c r="AL21" s="82" t="str">
        <f t="shared" si="16"/>
        <v/>
      </c>
      <c r="AM21" s="82"/>
      <c r="AN21" s="76">
        <f>Dvojice!$A21</f>
        <v>1</v>
      </c>
      <c r="AO21" s="77">
        <f>Dvojice!$B21</f>
        <v>6</v>
      </c>
      <c r="AP21" s="78" t="str">
        <f>Dvojice!$D21</f>
        <v>VLK Jáchym</v>
      </c>
      <c r="AQ21" s="79" t="str">
        <f>Dvojice!$E21</f>
        <v>TJ Favorit Brno</v>
      </c>
      <c r="AR21" s="79" t="str">
        <f>Dvojice!$F21</f>
        <v>U19</v>
      </c>
      <c r="AS21" s="77" t="e">
        <f>#REF!</f>
        <v>#REF!</v>
      </c>
      <c r="AT21" s="77" t="e">
        <f>#REF!</f>
        <v>#REF!</v>
      </c>
      <c r="AU21" s="80">
        <f>Dvojice!$G21</f>
        <v>0</v>
      </c>
    </row>
    <row r="22" spans="1:47">
      <c r="A22" s="105">
        <f>RANK(Dvojice!$G22,Dvojice!$G$12:$G$39,0)</f>
        <v>1</v>
      </c>
      <c r="B22" s="111"/>
      <c r="C22" s="67"/>
      <c r="D22" s="68"/>
      <c r="E22" s="69"/>
      <c r="F22" s="70"/>
      <c r="G22" s="109">
        <f t="shared" ref="G22" si="30">SUM(I22:P23)+U22</f>
        <v>0</v>
      </c>
      <c r="H22" s="71" t="str">
        <f>IFERROR(VLOOKUP(Dvojice!$B22,Bodovacka!D:E,2,FALSE),"x")</f>
        <v>x</v>
      </c>
      <c r="I22" s="107" t="str">
        <f t="shared" si="18"/>
        <v/>
      </c>
      <c r="J22" s="107" t="str">
        <f t="shared" si="19"/>
        <v/>
      </c>
      <c r="K22" s="107" t="str">
        <f t="shared" si="20"/>
        <v/>
      </c>
      <c r="L22" s="107" t="str">
        <f t="shared" si="21"/>
        <v/>
      </c>
      <c r="M22" s="107" t="str">
        <f t="shared" si="22"/>
        <v/>
      </c>
      <c r="N22" s="107" t="str">
        <f t="shared" si="23"/>
        <v/>
      </c>
      <c r="O22" s="107" t="str">
        <f t="shared" si="24"/>
        <v/>
      </c>
      <c r="P22" s="107" t="str">
        <f t="shared" si="25"/>
        <v/>
      </c>
      <c r="Q22" s="72" t="str">
        <f t="shared" si="0"/>
        <v/>
      </c>
      <c r="R22" s="72" t="str">
        <f t="shared" si="0"/>
        <v/>
      </c>
      <c r="S22" s="72" t="str">
        <f t="shared" si="0"/>
        <v/>
      </c>
      <c r="T22" s="72" t="str">
        <f t="shared" si="1"/>
        <v/>
      </c>
      <c r="U22" s="107"/>
      <c r="V22" s="75" t="str">
        <f t="shared" si="29"/>
        <v/>
      </c>
      <c r="W22" s="82" t="str">
        <f t="shared" si="2"/>
        <v/>
      </c>
      <c r="X22" s="82" t="str">
        <f t="shared" si="3"/>
        <v/>
      </c>
      <c r="Y22" s="82" t="str">
        <f t="shared" si="4"/>
        <v/>
      </c>
      <c r="Z22" s="82" t="str">
        <f t="shared" si="5"/>
        <v/>
      </c>
      <c r="AA22" s="82" t="str">
        <f t="shared" si="6"/>
        <v/>
      </c>
      <c r="AB22" s="82" t="str">
        <f t="shared" si="7"/>
        <v/>
      </c>
      <c r="AC22" s="82" t="str">
        <f t="shared" si="8"/>
        <v/>
      </c>
      <c r="AD22" s="82" t="str">
        <f t="shared" si="9"/>
        <v/>
      </c>
      <c r="AE22" s="82" t="str">
        <f t="shared" si="10"/>
        <v/>
      </c>
      <c r="AF22" s="82" t="str">
        <f t="shared" si="11"/>
        <v/>
      </c>
      <c r="AG22" s="82" t="str">
        <f t="shared" si="12"/>
        <v/>
      </c>
      <c r="AH22" s="82" t="str">
        <f t="shared" si="13"/>
        <v/>
      </c>
      <c r="AI22" s="82" t="str">
        <f t="shared" si="14"/>
        <v/>
      </c>
      <c r="AJ22" s="82" t="str">
        <f t="shared" si="15"/>
        <v/>
      </c>
      <c r="AK22" s="82" t="str">
        <f t="shared" si="16"/>
        <v/>
      </c>
      <c r="AL22" s="82" t="str">
        <f t="shared" si="16"/>
        <v/>
      </c>
      <c r="AM22" s="82"/>
      <c r="AN22" s="76">
        <f>Dvojice!$A22</f>
        <v>1</v>
      </c>
      <c r="AO22" s="77">
        <f>Dvojice!$B22</f>
        <v>0</v>
      </c>
      <c r="AP22" s="78">
        <f>Dvojice!$D22</f>
        <v>0</v>
      </c>
      <c r="AQ22" s="79">
        <f>Dvojice!$E22</f>
        <v>0</v>
      </c>
      <c r="AR22" s="79">
        <f>Dvojice!$F22</f>
        <v>0</v>
      </c>
      <c r="AS22" s="77" t="e">
        <f>#REF!</f>
        <v>#REF!</v>
      </c>
      <c r="AT22" s="77" t="e">
        <f>#REF!</f>
        <v>#REF!</v>
      </c>
      <c r="AU22" s="80">
        <f>Dvojice!$G22</f>
        <v>0</v>
      </c>
    </row>
    <row r="23" spans="1:47">
      <c r="A23" s="106">
        <f>RANK(Dvojice!$G23,Dvojice!$G$12:$G$39,0)</f>
        <v>1</v>
      </c>
      <c r="B23" s="112"/>
      <c r="C23" s="67"/>
      <c r="D23" s="68"/>
      <c r="E23" s="69"/>
      <c r="F23" s="70"/>
      <c r="G23" s="110"/>
      <c r="H23" s="71" t="str">
        <f>IFERROR(VLOOKUP(Dvojice!$B23,Bodovacka!D:E,2,FALSE),"x")</f>
        <v>x</v>
      </c>
      <c r="I23" s="108" t="str">
        <f t="shared" si="18"/>
        <v/>
      </c>
      <c r="J23" s="108" t="str">
        <f t="shared" si="19"/>
        <v/>
      </c>
      <c r="K23" s="108" t="str">
        <f t="shared" si="20"/>
        <v/>
      </c>
      <c r="L23" s="108" t="str">
        <f t="shared" si="21"/>
        <v/>
      </c>
      <c r="M23" s="108" t="str">
        <f t="shared" si="22"/>
        <v/>
      </c>
      <c r="N23" s="108" t="str">
        <f t="shared" si="23"/>
        <v/>
      </c>
      <c r="O23" s="108" t="str">
        <f t="shared" si="24"/>
        <v/>
      </c>
      <c r="P23" s="108" t="str">
        <f t="shared" si="25"/>
        <v/>
      </c>
      <c r="Q23" s="72" t="str">
        <f t="shared" si="0"/>
        <v/>
      </c>
      <c r="R23" s="72" t="str">
        <f t="shared" si="0"/>
        <v/>
      </c>
      <c r="S23" s="72" t="str">
        <f t="shared" si="0"/>
        <v/>
      </c>
      <c r="T23" s="72" t="str">
        <f t="shared" si="1"/>
        <v/>
      </c>
      <c r="U23" s="108"/>
      <c r="V23" s="75" t="str">
        <f t="shared" si="29"/>
        <v/>
      </c>
      <c r="W23" s="82" t="str">
        <f t="shared" si="2"/>
        <v/>
      </c>
      <c r="X23" s="82" t="str">
        <f t="shared" si="3"/>
        <v/>
      </c>
      <c r="Y23" s="82" t="str">
        <f t="shared" si="4"/>
        <v/>
      </c>
      <c r="Z23" s="82" t="str">
        <f t="shared" si="5"/>
        <v/>
      </c>
      <c r="AA23" s="82" t="str">
        <f t="shared" si="6"/>
        <v/>
      </c>
      <c r="AB23" s="82" t="str">
        <f t="shared" si="7"/>
        <v/>
      </c>
      <c r="AC23" s="82" t="str">
        <f t="shared" si="8"/>
        <v/>
      </c>
      <c r="AD23" s="82" t="str">
        <f t="shared" si="9"/>
        <v/>
      </c>
      <c r="AE23" s="82" t="str">
        <f t="shared" si="10"/>
        <v/>
      </c>
      <c r="AF23" s="82" t="str">
        <f t="shared" si="11"/>
        <v/>
      </c>
      <c r="AG23" s="82" t="str">
        <f t="shared" si="12"/>
        <v/>
      </c>
      <c r="AH23" s="82" t="str">
        <f t="shared" si="13"/>
        <v/>
      </c>
      <c r="AI23" s="82" t="str">
        <f t="shared" si="14"/>
        <v/>
      </c>
      <c r="AJ23" s="82" t="str">
        <f t="shared" si="15"/>
        <v/>
      </c>
      <c r="AK23" s="82" t="str">
        <f t="shared" si="16"/>
        <v/>
      </c>
      <c r="AL23" s="82" t="str">
        <f t="shared" si="16"/>
        <v/>
      </c>
      <c r="AM23" s="82"/>
      <c r="AN23" s="76">
        <f>Dvojice!$A23</f>
        <v>1</v>
      </c>
      <c r="AO23" s="77">
        <f>Dvojice!$B23</f>
        <v>0</v>
      </c>
      <c r="AP23" s="78">
        <f>Dvojice!$D23</f>
        <v>0</v>
      </c>
      <c r="AQ23" s="79">
        <f>Dvojice!$E23</f>
        <v>0</v>
      </c>
      <c r="AR23" s="79">
        <f>Dvojice!$F23</f>
        <v>0</v>
      </c>
      <c r="AS23" s="77" t="e">
        <f>#REF!</f>
        <v>#REF!</v>
      </c>
      <c r="AT23" s="77" t="e">
        <f>#REF!</f>
        <v>#REF!</v>
      </c>
      <c r="AU23" s="80">
        <f>Dvojice!$G23</f>
        <v>0</v>
      </c>
    </row>
    <row r="24" spans="1:47">
      <c r="A24" s="105">
        <f>RANK(Dvojice!$G24,Dvojice!$G$12:$G$39,0)</f>
        <v>1</v>
      </c>
      <c r="B24" s="111"/>
      <c r="C24" s="67"/>
      <c r="D24" s="68"/>
      <c r="E24" s="69"/>
      <c r="F24" s="70"/>
      <c r="G24" s="109">
        <f t="shared" ref="G24" si="31">SUM(I24:P25)+U24</f>
        <v>0</v>
      </c>
      <c r="H24" s="71" t="str">
        <f>IFERROR(VLOOKUP(Dvojice!$B24,Bodovacka!D:E,2,FALSE),"x")</f>
        <v>x</v>
      </c>
      <c r="I24" s="107" t="str">
        <f t="shared" si="18"/>
        <v/>
      </c>
      <c r="J24" s="107" t="str">
        <f t="shared" si="19"/>
        <v/>
      </c>
      <c r="K24" s="107" t="str">
        <f t="shared" si="20"/>
        <v/>
      </c>
      <c r="L24" s="107" t="str">
        <f t="shared" si="21"/>
        <v/>
      </c>
      <c r="M24" s="107" t="str">
        <f t="shared" si="22"/>
        <v/>
      </c>
      <c r="N24" s="107" t="str">
        <f t="shared" si="23"/>
        <v/>
      </c>
      <c r="O24" s="107" t="str">
        <f t="shared" si="24"/>
        <v/>
      </c>
      <c r="P24" s="107" t="str">
        <f t="shared" si="25"/>
        <v/>
      </c>
      <c r="Q24" s="72" t="str">
        <f t="shared" si="0"/>
        <v/>
      </c>
      <c r="R24" s="72" t="str">
        <f t="shared" si="0"/>
        <v/>
      </c>
      <c r="S24" s="72" t="str">
        <f t="shared" si="0"/>
        <v/>
      </c>
      <c r="T24" s="72" t="str">
        <f t="shared" si="1"/>
        <v/>
      </c>
      <c r="U24" s="107"/>
      <c r="V24" s="75" t="str">
        <f t="shared" si="29"/>
        <v/>
      </c>
      <c r="W24" s="82" t="str">
        <f t="shared" si="2"/>
        <v/>
      </c>
      <c r="X24" s="82" t="str">
        <f t="shared" si="3"/>
        <v/>
      </c>
      <c r="Y24" s="82" t="str">
        <f t="shared" si="4"/>
        <v/>
      </c>
      <c r="Z24" s="82" t="str">
        <f t="shared" si="5"/>
        <v/>
      </c>
      <c r="AA24" s="82" t="str">
        <f t="shared" si="6"/>
        <v/>
      </c>
      <c r="AB24" s="82" t="str">
        <f t="shared" si="7"/>
        <v/>
      </c>
      <c r="AC24" s="82" t="str">
        <f t="shared" si="8"/>
        <v/>
      </c>
      <c r="AD24" s="82" t="str">
        <f t="shared" si="9"/>
        <v/>
      </c>
      <c r="AE24" s="82" t="str">
        <f t="shared" si="10"/>
        <v/>
      </c>
      <c r="AF24" s="82" t="str">
        <f t="shared" si="11"/>
        <v/>
      </c>
      <c r="AG24" s="82" t="str">
        <f t="shared" si="12"/>
        <v/>
      </c>
      <c r="AH24" s="82" t="str">
        <f t="shared" si="13"/>
        <v/>
      </c>
      <c r="AI24" s="82" t="str">
        <f t="shared" si="14"/>
        <v/>
      </c>
      <c r="AJ24" s="82" t="str">
        <f t="shared" si="15"/>
        <v/>
      </c>
      <c r="AK24" s="82" t="str">
        <f t="shared" si="16"/>
        <v/>
      </c>
      <c r="AL24" s="82" t="str">
        <f t="shared" si="16"/>
        <v/>
      </c>
      <c r="AM24" s="82"/>
      <c r="AN24" s="76">
        <f>Dvojice!$A24</f>
        <v>1</v>
      </c>
      <c r="AO24" s="77">
        <f>Dvojice!$B24</f>
        <v>0</v>
      </c>
      <c r="AP24" s="78">
        <f>Dvojice!$D24</f>
        <v>0</v>
      </c>
      <c r="AQ24" s="79">
        <f>Dvojice!$E24</f>
        <v>0</v>
      </c>
      <c r="AR24" s="79">
        <f>Dvojice!$F24</f>
        <v>0</v>
      </c>
      <c r="AS24" s="77" t="e">
        <f>#REF!</f>
        <v>#REF!</v>
      </c>
      <c r="AT24" s="77" t="e">
        <f>#REF!</f>
        <v>#REF!</v>
      </c>
      <c r="AU24" s="80">
        <f>Dvojice!$G24</f>
        <v>0</v>
      </c>
    </row>
    <row r="25" spans="1:47">
      <c r="A25" s="106">
        <f>RANK(Dvojice!$G25,Dvojice!$G$12:$G$39,0)</f>
        <v>1</v>
      </c>
      <c r="B25" s="112"/>
      <c r="C25" s="67"/>
      <c r="D25" s="68"/>
      <c r="E25" s="69"/>
      <c r="F25" s="70"/>
      <c r="G25" s="110"/>
      <c r="H25" s="71" t="str">
        <f>IFERROR(VLOOKUP(Dvojice!$B25,Bodovacka!D:E,2,FALSE),"x")</f>
        <v>x</v>
      </c>
      <c r="I25" s="108" t="str">
        <f t="shared" si="18"/>
        <v/>
      </c>
      <c r="J25" s="108" t="str">
        <f t="shared" si="19"/>
        <v/>
      </c>
      <c r="K25" s="108" t="str">
        <f t="shared" si="20"/>
        <v/>
      </c>
      <c r="L25" s="108" t="str">
        <f t="shared" si="21"/>
        <v/>
      </c>
      <c r="M25" s="108" t="str">
        <f t="shared" si="22"/>
        <v/>
      </c>
      <c r="N25" s="108" t="str">
        <f t="shared" si="23"/>
        <v/>
      </c>
      <c r="O25" s="108" t="str">
        <f t="shared" si="24"/>
        <v/>
      </c>
      <c r="P25" s="108" t="str">
        <f t="shared" si="25"/>
        <v/>
      </c>
      <c r="Q25" s="72" t="str">
        <f t="shared" si="0"/>
        <v/>
      </c>
      <c r="R25" s="72" t="str">
        <f t="shared" si="0"/>
        <v/>
      </c>
      <c r="S25" s="72" t="str">
        <f t="shared" si="0"/>
        <v/>
      </c>
      <c r="T25" s="72" t="str">
        <f t="shared" si="1"/>
        <v/>
      </c>
      <c r="U25" s="108"/>
      <c r="V25" s="75" t="str">
        <f t="shared" si="29"/>
        <v/>
      </c>
      <c r="W25" s="82" t="str">
        <f t="shared" si="2"/>
        <v/>
      </c>
      <c r="X25" s="82" t="str">
        <f t="shared" si="3"/>
        <v/>
      </c>
      <c r="Y25" s="82" t="str">
        <f t="shared" si="4"/>
        <v/>
      </c>
      <c r="Z25" s="82" t="str">
        <f t="shared" si="5"/>
        <v/>
      </c>
      <c r="AA25" s="82" t="str">
        <f t="shared" si="6"/>
        <v/>
      </c>
      <c r="AB25" s="82" t="str">
        <f t="shared" si="7"/>
        <v/>
      </c>
      <c r="AC25" s="82" t="str">
        <f t="shared" si="8"/>
        <v/>
      </c>
      <c r="AD25" s="82" t="str">
        <f t="shared" si="9"/>
        <v/>
      </c>
      <c r="AE25" s="82" t="str">
        <f t="shared" si="10"/>
        <v/>
      </c>
      <c r="AF25" s="82" t="str">
        <f t="shared" si="11"/>
        <v/>
      </c>
      <c r="AG25" s="82" t="str">
        <f t="shared" si="12"/>
        <v/>
      </c>
      <c r="AH25" s="82" t="str">
        <f t="shared" si="13"/>
        <v/>
      </c>
      <c r="AI25" s="82" t="str">
        <f t="shared" si="14"/>
        <v/>
      </c>
      <c r="AJ25" s="82" t="str">
        <f t="shared" si="15"/>
        <v/>
      </c>
      <c r="AK25" s="82" t="str">
        <f t="shared" si="16"/>
        <v/>
      </c>
      <c r="AL25" s="82" t="str">
        <f t="shared" si="16"/>
        <v/>
      </c>
      <c r="AM25" s="82"/>
      <c r="AN25" s="76">
        <f>Dvojice!$A25</f>
        <v>1</v>
      </c>
      <c r="AO25" s="77">
        <f>Dvojice!$B25</f>
        <v>0</v>
      </c>
      <c r="AP25" s="78">
        <f>Dvojice!$D25</f>
        <v>0</v>
      </c>
      <c r="AQ25" s="79">
        <f>Dvojice!$E25</f>
        <v>0</v>
      </c>
      <c r="AR25" s="79">
        <f>Dvojice!$F25</f>
        <v>0</v>
      </c>
      <c r="AS25" s="77" t="e">
        <f>#REF!</f>
        <v>#REF!</v>
      </c>
      <c r="AT25" s="77" t="e">
        <f>#REF!</f>
        <v>#REF!</v>
      </c>
      <c r="AU25" s="80">
        <f>Dvojice!$G25</f>
        <v>0</v>
      </c>
    </row>
    <row r="26" spans="1:47">
      <c r="A26" s="105">
        <f>RANK(Dvojice!$G26,Dvojice!$G$12:$G$39,0)</f>
        <v>1</v>
      </c>
      <c r="B26" s="111"/>
      <c r="C26" s="67"/>
      <c r="D26" s="68"/>
      <c r="E26" s="69"/>
      <c r="F26" s="70"/>
      <c r="G26" s="109">
        <f t="shared" ref="G26" si="32">SUM(I26:P27)+U26</f>
        <v>0</v>
      </c>
      <c r="H26" s="71" t="str">
        <f>IFERROR(VLOOKUP(Dvojice!$B26,Bodovacka!D:E,2,FALSE),"x")</f>
        <v>x</v>
      </c>
      <c r="I26" s="107" t="str">
        <f t="shared" si="18"/>
        <v/>
      </c>
      <c r="J26" s="107" t="str">
        <f t="shared" si="19"/>
        <v/>
      </c>
      <c r="K26" s="107" t="str">
        <f t="shared" si="20"/>
        <v/>
      </c>
      <c r="L26" s="107" t="str">
        <f t="shared" si="21"/>
        <v/>
      </c>
      <c r="M26" s="107" t="str">
        <f t="shared" si="22"/>
        <v/>
      </c>
      <c r="N26" s="107" t="str">
        <f t="shared" si="23"/>
        <v/>
      </c>
      <c r="O26" s="107" t="str">
        <f t="shared" si="24"/>
        <v/>
      </c>
      <c r="P26" s="107" t="str">
        <f t="shared" si="25"/>
        <v/>
      </c>
      <c r="Q26" s="72" t="str">
        <f t="shared" si="0"/>
        <v/>
      </c>
      <c r="R26" s="72" t="str">
        <f t="shared" si="0"/>
        <v/>
      </c>
      <c r="S26" s="72" t="str">
        <f t="shared" si="0"/>
        <v/>
      </c>
      <c r="T26" s="72" t="str">
        <f t="shared" si="1"/>
        <v/>
      </c>
      <c r="U26" s="107"/>
      <c r="V26" s="75" t="str">
        <f t="shared" si="29"/>
        <v/>
      </c>
      <c r="W26" s="82" t="str">
        <f t="shared" si="2"/>
        <v/>
      </c>
      <c r="X26" s="82" t="str">
        <f t="shared" si="3"/>
        <v/>
      </c>
      <c r="Y26" s="82" t="str">
        <f t="shared" si="4"/>
        <v/>
      </c>
      <c r="Z26" s="82" t="str">
        <f t="shared" si="5"/>
        <v/>
      </c>
      <c r="AA26" s="82" t="str">
        <f t="shared" si="6"/>
        <v/>
      </c>
      <c r="AB26" s="82" t="str">
        <f t="shared" si="7"/>
        <v/>
      </c>
      <c r="AC26" s="82" t="str">
        <f t="shared" si="8"/>
        <v/>
      </c>
      <c r="AD26" s="82" t="str">
        <f t="shared" si="9"/>
        <v/>
      </c>
      <c r="AE26" s="82" t="str">
        <f t="shared" si="10"/>
        <v/>
      </c>
      <c r="AF26" s="82" t="str">
        <f t="shared" si="11"/>
        <v/>
      </c>
      <c r="AG26" s="82" t="str">
        <f t="shared" si="12"/>
        <v/>
      </c>
      <c r="AH26" s="82" t="str">
        <f t="shared" si="13"/>
        <v/>
      </c>
      <c r="AI26" s="82" t="str">
        <f t="shared" si="14"/>
        <v/>
      </c>
      <c r="AJ26" s="82" t="str">
        <f t="shared" si="15"/>
        <v/>
      </c>
      <c r="AK26" s="82" t="str">
        <f t="shared" si="16"/>
        <v/>
      </c>
      <c r="AL26" s="82" t="str">
        <f t="shared" si="16"/>
        <v/>
      </c>
      <c r="AM26" s="82"/>
      <c r="AN26" s="76">
        <f>Dvojice!$A26</f>
        <v>1</v>
      </c>
      <c r="AO26" s="77">
        <f>Dvojice!$B26</f>
        <v>0</v>
      </c>
      <c r="AP26" s="78">
        <f>Dvojice!$D26</f>
        <v>0</v>
      </c>
      <c r="AQ26" s="79">
        <f>Dvojice!$E26</f>
        <v>0</v>
      </c>
      <c r="AR26" s="79">
        <f>Dvojice!$F26</f>
        <v>0</v>
      </c>
      <c r="AS26" s="77" t="e">
        <f>#REF!</f>
        <v>#REF!</v>
      </c>
      <c r="AT26" s="77" t="e">
        <f>#REF!</f>
        <v>#REF!</v>
      </c>
      <c r="AU26" s="80">
        <f>Dvojice!$G26</f>
        <v>0</v>
      </c>
    </row>
    <row r="27" spans="1:47">
      <c r="A27" s="106">
        <f>RANK(Dvojice!$G27,Dvojice!$G$12:$G$39,0)</f>
        <v>1</v>
      </c>
      <c r="B27" s="112"/>
      <c r="C27" s="67"/>
      <c r="D27" s="68"/>
      <c r="E27" s="69"/>
      <c r="F27" s="70"/>
      <c r="G27" s="110"/>
      <c r="H27" s="71" t="str">
        <f>IFERROR(VLOOKUP(Dvojice!$B27,Bodovacka!D:E,2,FALSE),"x")</f>
        <v>x</v>
      </c>
      <c r="I27" s="108" t="str">
        <f t="shared" si="18"/>
        <v/>
      </c>
      <c r="J27" s="108" t="str">
        <f t="shared" si="19"/>
        <v/>
      </c>
      <c r="K27" s="108" t="str">
        <f t="shared" si="20"/>
        <v/>
      </c>
      <c r="L27" s="108" t="str">
        <f t="shared" si="21"/>
        <v/>
      </c>
      <c r="M27" s="108" t="str">
        <f t="shared" si="22"/>
        <v/>
      </c>
      <c r="N27" s="108" t="str">
        <f t="shared" si="23"/>
        <v/>
      </c>
      <c r="O27" s="108" t="str">
        <f t="shared" si="24"/>
        <v/>
      </c>
      <c r="P27" s="108" t="str">
        <f t="shared" si="25"/>
        <v/>
      </c>
      <c r="Q27" s="72" t="str">
        <f t="shared" si="0"/>
        <v/>
      </c>
      <c r="R27" s="72" t="str">
        <f t="shared" si="0"/>
        <v/>
      </c>
      <c r="S27" s="72" t="str">
        <f t="shared" si="0"/>
        <v/>
      </c>
      <c r="T27" s="72" t="str">
        <f t="shared" si="1"/>
        <v/>
      </c>
      <c r="U27" s="108"/>
      <c r="V27" s="75" t="str">
        <f t="shared" si="29"/>
        <v/>
      </c>
      <c r="W27" s="82" t="str">
        <f t="shared" si="2"/>
        <v/>
      </c>
      <c r="X27" s="82" t="str">
        <f t="shared" si="3"/>
        <v/>
      </c>
      <c r="Y27" s="82" t="str">
        <f t="shared" si="4"/>
        <v/>
      </c>
      <c r="Z27" s="82" t="str">
        <f t="shared" si="5"/>
        <v/>
      </c>
      <c r="AA27" s="82" t="str">
        <f t="shared" si="6"/>
        <v/>
      </c>
      <c r="AB27" s="82" t="str">
        <f t="shared" si="7"/>
        <v/>
      </c>
      <c r="AC27" s="82" t="str">
        <f t="shared" si="8"/>
        <v/>
      </c>
      <c r="AD27" s="82" t="str">
        <f t="shared" si="9"/>
        <v/>
      </c>
      <c r="AE27" s="82" t="str">
        <f t="shared" si="10"/>
        <v/>
      </c>
      <c r="AF27" s="82" t="str">
        <f t="shared" si="11"/>
        <v/>
      </c>
      <c r="AG27" s="82" t="str">
        <f t="shared" si="12"/>
        <v/>
      </c>
      <c r="AH27" s="82" t="str">
        <f t="shared" si="13"/>
        <v/>
      </c>
      <c r="AI27" s="82" t="str">
        <f t="shared" si="14"/>
        <v/>
      </c>
      <c r="AJ27" s="82" t="str">
        <f t="shared" si="15"/>
        <v/>
      </c>
      <c r="AK27" s="82" t="str">
        <f t="shared" si="16"/>
        <v/>
      </c>
      <c r="AL27" s="82" t="str">
        <f t="shared" si="16"/>
        <v/>
      </c>
      <c r="AM27" s="82"/>
      <c r="AN27" s="76">
        <f>Dvojice!$A27</f>
        <v>1</v>
      </c>
      <c r="AO27" s="77">
        <f>Dvojice!$B27</f>
        <v>0</v>
      </c>
      <c r="AP27" s="78">
        <f>Dvojice!$D27</f>
        <v>0</v>
      </c>
      <c r="AQ27" s="79">
        <f>Dvojice!$E27</f>
        <v>0</v>
      </c>
      <c r="AR27" s="79">
        <f>Dvojice!$F27</f>
        <v>0</v>
      </c>
      <c r="AS27" s="77" t="e">
        <f>#REF!</f>
        <v>#REF!</v>
      </c>
      <c r="AT27" s="77" t="e">
        <f>#REF!</f>
        <v>#REF!</v>
      </c>
      <c r="AU27" s="80">
        <f>Dvojice!$G27</f>
        <v>0</v>
      </c>
    </row>
    <row r="28" spans="1:47">
      <c r="A28" s="105">
        <f>RANK(Dvojice!$G28,Dvojice!$G$12:$G$39,0)</f>
        <v>1</v>
      </c>
      <c r="B28" s="111"/>
      <c r="C28" s="67"/>
      <c r="D28" s="68"/>
      <c r="E28" s="69"/>
      <c r="F28" s="70"/>
      <c r="G28" s="109">
        <f t="shared" ref="G28" si="33">SUM(I28:P29)+U28</f>
        <v>0</v>
      </c>
      <c r="H28" s="71" t="str">
        <f>IFERROR(VLOOKUP(Dvojice!$B28,Bodovacka!D:E,2,FALSE),"x")</f>
        <v>x</v>
      </c>
      <c r="I28" s="107" t="str">
        <f t="shared" si="18"/>
        <v/>
      </c>
      <c r="J28" s="107" t="str">
        <f t="shared" si="19"/>
        <v/>
      </c>
      <c r="K28" s="107" t="str">
        <f t="shared" si="20"/>
        <v/>
      </c>
      <c r="L28" s="107" t="str">
        <f t="shared" si="21"/>
        <v/>
      </c>
      <c r="M28" s="107" t="str">
        <f t="shared" si="22"/>
        <v/>
      </c>
      <c r="N28" s="107" t="str">
        <f t="shared" si="23"/>
        <v/>
      </c>
      <c r="O28" s="107" t="str">
        <f t="shared" si="24"/>
        <v/>
      </c>
      <c r="P28" s="107" t="str">
        <f t="shared" si="25"/>
        <v/>
      </c>
      <c r="Q28" s="72" t="str">
        <f t="shared" si="0"/>
        <v/>
      </c>
      <c r="R28" s="72" t="str">
        <f t="shared" si="0"/>
        <v/>
      </c>
      <c r="S28" s="72" t="str">
        <f t="shared" si="0"/>
        <v/>
      </c>
      <c r="T28" s="72" t="str">
        <f t="shared" si="1"/>
        <v/>
      </c>
      <c r="U28" s="107"/>
      <c r="V28" s="75" t="str">
        <f t="shared" si="29"/>
        <v/>
      </c>
      <c r="W28" s="82" t="str">
        <f t="shared" si="2"/>
        <v/>
      </c>
      <c r="X28" s="82" t="str">
        <f t="shared" si="3"/>
        <v/>
      </c>
      <c r="Y28" s="82" t="str">
        <f t="shared" si="4"/>
        <v/>
      </c>
      <c r="Z28" s="82" t="str">
        <f t="shared" si="5"/>
        <v/>
      </c>
      <c r="AA28" s="82" t="str">
        <f t="shared" si="6"/>
        <v/>
      </c>
      <c r="AB28" s="82" t="str">
        <f t="shared" si="7"/>
        <v/>
      </c>
      <c r="AC28" s="82" t="str">
        <f t="shared" si="8"/>
        <v/>
      </c>
      <c r="AD28" s="82" t="str">
        <f t="shared" si="9"/>
        <v/>
      </c>
      <c r="AE28" s="82" t="str">
        <f t="shared" si="10"/>
        <v/>
      </c>
      <c r="AF28" s="82" t="str">
        <f t="shared" si="11"/>
        <v/>
      </c>
      <c r="AG28" s="82" t="str">
        <f t="shared" si="12"/>
        <v/>
      </c>
      <c r="AH28" s="82" t="str">
        <f t="shared" si="13"/>
        <v/>
      </c>
      <c r="AI28" s="82" t="str">
        <f t="shared" si="14"/>
        <v/>
      </c>
      <c r="AJ28" s="82" t="str">
        <f t="shared" si="15"/>
        <v/>
      </c>
      <c r="AK28" s="82" t="str">
        <f t="shared" si="16"/>
        <v/>
      </c>
      <c r="AL28" s="82" t="str">
        <f t="shared" si="16"/>
        <v/>
      </c>
      <c r="AM28" s="82"/>
      <c r="AN28" s="76">
        <f>Dvojice!$A28</f>
        <v>1</v>
      </c>
      <c r="AO28" s="77">
        <f>Dvojice!$B28</f>
        <v>0</v>
      </c>
      <c r="AP28" s="78">
        <f>Dvojice!$D28</f>
        <v>0</v>
      </c>
      <c r="AQ28" s="79">
        <f>Dvojice!$E28</f>
        <v>0</v>
      </c>
      <c r="AR28" s="79">
        <f>Dvojice!$F28</f>
        <v>0</v>
      </c>
      <c r="AS28" s="77" t="e">
        <f>#REF!</f>
        <v>#REF!</v>
      </c>
      <c r="AT28" s="77" t="e">
        <f>#REF!</f>
        <v>#REF!</v>
      </c>
      <c r="AU28" s="80">
        <f>Dvojice!$G28</f>
        <v>0</v>
      </c>
    </row>
    <row r="29" spans="1:47">
      <c r="A29" s="106">
        <f>RANK(Dvojice!$G29,Dvojice!$G$12:$G$39,0)</f>
        <v>1</v>
      </c>
      <c r="B29" s="112"/>
      <c r="C29" s="67"/>
      <c r="D29" s="68"/>
      <c r="E29" s="69"/>
      <c r="F29" s="70"/>
      <c r="G29" s="110"/>
      <c r="H29" s="71" t="str">
        <f>IFERROR(VLOOKUP(Dvojice!$B29,Bodovacka!D:E,2,FALSE),"x")</f>
        <v>x</v>
      </c>
      <c r="I29" s="108" t="str">
        <f t="shared" si="18"/>
        <v/>
      </c>
      <c r="J29" s="108" t="str">
        <f t="shared" si="19"/>
        <v/>
      </c>
      <c r="K29" s="108" t="str">
        <f t="shared" si="20"/>
        <v/>
      </c>
      <c r="L29" s="108" t="str">
        <f t="shared" si="21"/>
        <v/>
      </c>
      <c r="M29" s="108" t="str">
        <f t="shared" si="22"/>
        <v/>
      </c>
      <c r="N29" s="108" t="str">
        <f t="shared" si="23"/>
        <v/>
      </c>
      <c r="O29" s="108" t="str">
        <f t="shared" si="24"/>
        <v/>
      </c>
      <c r="P29" s="108" t="str">
        <f t="shared" si="25"/>
        <v/>
      </c>
      <c r="Q29" s="72" t="str">
        <f t="shared" si="0"/>
        <v/>
      </c>
      <c r="R29" s="72" t="str">
        <f t="shared" si="0"/>
        <v/>
      </c>
      <c r="S29" s="72" t="str">
        <f t="shared" si="0"/>
        <v/>
      </c>
      <c r="T29" s="72" t="str">
        <f t="shared" si="1"/>
        <v/>
      </c>
      <c r="U29" s="108"/>
      <c r="V29" s="75" t="str">
        <f t="shared" si="29"/>
        <v/>
      </c>
      <c r="W29" s="82" t="str">
        <f t="shared" si="2"/>
        <v/>
      </c>
      <c r="X29" s="82" t="str">
        <f t="shared" si="3"/>
        <v/>
      </c>
      <c r="Y29" s="82" t="str">
        <f t="shared" si="4"/>
        <v/>
      </c>
      <c r="Z29" s="82" t="str">
        <f t="shared" si="5"/>
        <v/>
      </c>
      <c r="AA29" s="82" t="str">
        <f t="shared" si="6"/>
        <v/>
      </c>
      <c r="AB29" s="82" t="str">
        <f t="shared" si="7"/>
        <v/>
      </c>
      <c r="AC29" s="82" t="str">
        <f t="shared" si="8"/>
        <v/>
      </c>
      <c r="AD29" s="82" t="str">
        <f t="shared" si="9"/>
        <v/>
      </c>
      <c r="AE29" s="82" t="str">
        <f t="shared" si="10"/>
        <v/>
      </c>
      <c r="AF29" s="82" t="str">
        <f t="shared" si="11"/>
        <v/>
      </c>
      <c r="AG29" s="82" t="str">
        <f t="shared" si="12"/>
        <v/>
      </c>
      <c r="AH29" s="82" t="str">
        <f t="shared" si="13"/>
        <v/>
      </c>
      <c r="AI29" s="82" t="str">
        <f t="shared" si="14"/>
        <v/>
      </c>
      <c r="AJ29" s="82" t="str">
        <f t="shared" si="15"/>
        <v/>
      </c>
      <c r="AK29" s="82" t="str">
        <f t="shared" si="16"/>
        <v/>
      </c>
      <c r="AL29" s="82" t="str">
        <f t="shared" si="16"/>
        <v/>
      </c>
      <c r="AM29" s="82"/>
      <c r="AN29" s="76">
        <f>Dvojice!$A29</f>
        <v>1</v>
      </c>
      <c r="AO29" s="77">
        <f>Dvojice!$B29</f>
        <v>0</v>
      </c>
      <c r="AP29" s="78">
        <f>Dvojice!$D29</f>
        <v>0</v>
      </c>
      <c r="AQ29" s="79">
        <f>Dvojice!$E29</f>
        <v>0</v>
      </c>
      <c r="AR29" s="79">
        <f>Dvojice!$F29</f>
        <v>0</v>
      </c>
      <c r="AS29" s="77" t="e">
        <f>#REF!</f>
        <v>#REF!</v>
      </c>
      <c r="AT29" s="77" t="e">
        <f>#REF!</f>
        <v>#REF!</v>
      </c>
      <c r="AU29" s="80">
        <f>Dvojice!$G29</f>
        <v>0</v>
      </c>
    </row>
    <row r="30" spans="1:47">
      <c r="A30" s="105">
        <f>RANK(Dvojice!$G30,Dvojice!$G$12:$G$39,0)</f>
        <v>1</v>
      </c>
      <c r="B30" s="111"/>
      <c r="C30" s="67"/>
      <c r="D30" s="68"/>
      <c r="E30" s="69"/>
      <c r="F30" s="70"/>
      <c r="G30" s="109">
        <f t="shared" ref="G30" si="34">SUM(I30:P31)+U30</f>
        <v>0</v>
      </c>
      <c r="H30" s="71" t="str">
        <f>IFERROR(VLOOKUP(Dvojice!$B30,Bodovacka!D:E,2,FALSE),"x")</f>
        <v>x</v>
      </c>
      <c r="I30" s="107" t="str">
        <f t="shared" si="18"/>
        <v/>
      </c>
      <c r="J30" s="107" t="str">
        <f t="shared" si="19"/>
        <v/>
      </c>
      <c r="K30" s="107" t="str">
        <f t="shared" si="20"/>
        <v/>
      </c>
      <c r="L30" s="107" t="str">
        <f t="shared" si="21"/>
        <v/>
      </c>
      <c r="M30" s="107" t="str">
        <f t="shared" si="22"/>
        <v/>
      </c>
      <c r="N30" s="107" t="str">
        <f t="shared" si="23"/>
        <v/>
      </c>
      <c r="O30" s="107" t="str">
        <f t="shared" si="24"/>
        <v/>
      </c>
      <c r="P30" s="107" t="str">
        <f t="shared" si="25"/>
        <v/>
      </c>
      <c r="Q30" s="72" t="str">
        <f t="shared" si="0"/>
        <v/>
      </c>
      <c r="R30" s="72" t="str">
        <f t="shared" si="0"/>
        <v/>
      </c>
      <c r="S30" s="72" t="str">
        <f t="shared" si="0"/>
        <v/>
      </c>
      <c r="T30" s="72" t="str">
        <f t="shared" si="1"/>
        <v/>
      </c>
      <c r="U30" s="107"/>
      <c r="V30" s="75" t="str">
        <f t="shared" si="29"/>
        <v/>
      </c>
      <c r="W30" s="82" t="str">
        <f t="shared" si="2"/>
        <v/>
      </c>
      <c r="X30" s="82" t="str">
        <f t="shared" si="3"/>
        <v/>
      </c>
      <c r="Y30" s="82" t="str">
        <f t="shared" si="4"/>
        <v/>
      </c>
      <c r="Z30" s="82" t="str">
        <f t="shared" si="5"/>
        <v/>
      </c>
      <c r="AA30" s="82" t="str">
        <f t="shared" si="6"/>
        <v/>
      </c>
      <c r="AB30" s="82" t="str">
        <f t="shared" si="7"/>
        <v/>
      </c>
      <c r="AC30" s="82" t="str">
        <f t="shared" si="8"/>
        <v/>
      </c>
      <c r="AD30" s="82" t="str">
        <f t="shared" si="9"/>
        <v/>
      </c>
      <c r="AE30" s="82" t="str">
        <f t="shared" si="10"/>
        <v/>
      </c>
      <c r="AF30" s="82" t="str">
        <f t="shared" si="11"/>
        <v/>
      </c>
      <c r="AG30" s="82" t="str">
        <f t="shared" si="12"/>
        <v/>
      </c>
      <c r="AH30" s="82" t="str">
        <f t="shared" si="13"/>
        <v/>
      </c>
      <c r="AI30" s="82" t="str">
        <f t="shared" si="14"/>
        <v/>
      </c>
      <c r="AJ30" s="82" t="str">
        <f t="shared" si="15"/>
        <v/>
      </c>
      <c r="AK30" s="82" t="str">
        <f t="shared" si="16"/>
        <v/>
      </c>
      <c r="AL30" s="82" t="str">
        <f t="shared" si="16"/>
        <v/>
      </c>
      <c r="AM30" s="82"/>
      <c r="AN30" s="76">
        <f>Dvojice!$A30</f>
        <v>1</v>
      </c>
      <c r="AO30" s="77">
        <f>Dvojice!$B30</f>
        <v>0</v>
      </c>
      <c r="AP30" s="78">
        <f>Dvojice!$D30</f>
        <v>0</v>
      </c>
      <c r="AQ30" s="79">
        <f>Dvojice!$E30</f>
        <v>0</v>
      </c>
      <c r="AR30" s="79">
        <f>Dvojice!$F30</f>
        <v>0</v>
      </c>
      <c r="AS30" s="77" t="e">
        <f>#REF!</f>
        <v>#REF!</v>
      </c>
      <c r="AT30" s="77" t="e">
        <f>#REF!</f>
        <v>#REF!</v>
      </c>
      <c r="AU30" s="80">
        <f>Dvojice!$G30</f>
        <v>0</v>
      </c>
    </row>
    <row r="31" spans="1:47">
      <c r="A31" s="106">
        <f>RANK(Dvojice!$G31,Dvojice!$G$12:$G$39,0)</f>
        <v>1</v>
      </c>
      <c r="B31" s="112"/>
      <c r="C31" s="67"/>
      <c r="D31" s="68"/>
      <c r="E31" s="69"/>
      <c r="F31" s="70"/>
      <c r="G31" s="110"/>
      <c r="H31" s="71" t="str">
        <f>IFERROR(VLOOKUP(Dvojice!$B31,Bodovacka!D:E,2,FALSE),"x")</f>
        <v>x</v>
      </c>
      <c r="I31" s="108" t="str">
        <f t="shared" si="18"/>
        <v/>
      </c>
      <c r="J31" s="108" t="str">
        <f t="shared" si="19"/>
        <v/>
      </c>
      <c r="K31" s="108" t="str">
        <f t="shared" si="20"/>
        <v/>
      </c>
      <c r="L31" s="108" t="str">
        <f t="shared" si="21"/>
        <v/>
      </c>
      <c r="M31" s="108" t="str">
        <f t="shared" si="22"/>
        <v/>
      </c>
      <c r="N31" s="108" t="str">
        <f t="shared" si="23"/>
        <v/>
      </c>
      <c r="O31" s="108" t="str">
        <f t="shared" si="24"/>
        <v/>
      </c>
      <c r="P31" s="108" t="str">
        <f t="shared" si="25"/>
        <v/>
      </c>
      <c r="Q31" s="72" t="str">
        <f t="shared" si="0"/>
        <v/>
      </c>
      <c r="R31" s="72" t="str">
        <f t="shared" si="0"/>
        <v/>
      </c>
      <c r="S31" s="72" t="str">
        <f t="shared" si="0"/>
        <v/>
      </c>
      <c r="T31" s="72" t="str">
        <f t="shared" si="1"/>
        <v/>
      </c>
      <c r="U31" s="108"/>
      <c r="V31" s="75" t="str">
        <f t="shared" si="29"/>
        <v/>
      </c>
      <c r="W31" s="82" t="str">
        <f t="shared" si="2"/>
        <v/>
      </c>
      <c r="X31" s="82" t="str">
        <f t="shared" si="3"/>
        <v/>
      </c>
      <c r="Y31" s="82" t="str">
        <f t="shared" si="4"/>
        <v/>
      </c>
      <c r="Z31" s="82" t="str">
        <f t="shared" si="5"/>
        <v/>
      </c>
      <c r="AA31" s="82" t="str">
        <f t="shared" si="6"/>
        <v/>
      </c>
      <c r="AB31" s="82" t="str">
        <f t="shared" si="7"/>
        <v/>
      </c>
      <c r="AC31" s="82" t="str">
        <f t="shared" si="8"/>
        <v/>
      </c>
      <c r="AD31" s="82" t="str">
        <f t="shared" si="9"/>
        <v/>
      </c>
      <c r="AE31" s="82" t="str">
        <f t="shared" si="10"/>
        <v/>
      </c>
      <c r="AF31" s="82" t="str">
        <f t="shared" si="11"/>
        <v/>
      </c>
      <c r="AG31" s="82" t="str">
        <f t="shared" si="12"/>
        <v/>
      </c>
      <c r="AH31" s="82" t="str">
        <f t="shared" si="13"/>
        <v/>
      </c>
      <c r="AI31" s="82" t="str">
        <f t="shared" si="14"/>
        <v/>
      </c>
      <c r="AJ31" s="82" t="str">
        <f t="shared" si="15"/>
        <v/>
      </c>
      <c r="AK31" s="82" t="str">
        <f t="shared" si="16"/>
        <v/>
      </c>
      <c r="AL31" s="82" t="str">
        <f t="shared" si="16"/>
        <v/>
      </c>
      <c r="AM31" s="82"/>
      <c r="AN31" s="76">
        <f>Dvojice!$A31</f>
        <v>1</v>
      </c>
      <c r="AO31" s="77">
        <f>Dvojice!$B31</f>
        <v>0</v>
      </c>
      <c r="AP31" s="78">
        <f>Dvojice!$D31</f>
        <v>0</v>
      </c>
      <c r="AQ31" s="79">
        <f>Dvojice!$E31</f>
        <v>0</v>
      </c>
      <c r="AR31" s="79">
        <f>Dvojice!$F31</f>
        <v>0</v>
      </c>
      <c r="AS31" s="77" t="e">
        <f>#REF!</f>
        <v>#REF!</v>
      </c>
      <c r="AT31" s="77" t="e">
        <f>#REF!</f>
        <v>#REF!</v>
      </c>
      <c r="AU31" s="80">
        <f>Dvojice!$G31</f>
        <v>0</v>
      </c>
    </row>
    <row r="32" spans="1:47">
      <c r="A32" s="105">
        <f>RANK(Dvojice!$G32,Dvojice!$G$12:$G$39,0)</f>
        <v>1</v>
      </c>
      <c r="B32" s="111"/>
      <c r="C32" s="67"/>
      <c r="D32" s="68"/>
      <c r="E32" s="69"/>
      <c r="F32" s="70"/>
      <c r="G32" s="109">
        <f t="shared" ref="G32" si="35">SUM(I32:P33)+U32</f>
        <v>0</v>
      </c>
      <c r="H32" s="71" t="str">
        <f>IFERROR(VLOOKUP(Dvojice!$B32,Bodovacka!D:E,2,FALSE),"x")</f>
        <v>x</v>
      </c>
      <c r="I32" s="107" t="str">
        <f t="shared" si="18"/>
        <v/>
      </c>
      <c r="J32" s="107" t="str">
        <f t="shared" si="19"/>
        <v/>
      </c>
      <c r="K32" s="107" t="str">
        <f t="shared" si="20"/>
        <v/>
      </c>
      <c r="L32" s="107" t="str">
        <f t="shared" si="21"/>
        <v/>
      </c>
      <c r="M32" s="107" t="str">
        <f t="shared" si="22"/>
        <v/>
      </c>
      <c r="N32" s="107" t="str">
        <f t="shared" si="23"/>
        <v/>
      </c>
      <c r="O32" s="107" t="str">
        <f t="shared" si="24"/>
        <v/>
      </c>
      <c r="P32" s="107" t="str">
        <f t="shared" si="25"/>
        <v/>
      </c>
      <c r="Q32" s="72" t="str">
        <f t="shared" si="0"/>
        <v/>
      </c>
      <c r="R32" s="72" t="str">
        <f t="shared" si="0"/>
        <v/>
      </c>
      <c r="S32" s="72" t="str">
        <f t="shared" si="0"/>
        <v/>
      </c>
      <c r="T32" s="72" t="str">
        <f t="shared" si="1"/>
        <v/>
      </c>
      <c r="U32" s="107"/>
      <c r="V32" s="75" t="str">
        <f t="shared" si="29"/>
        <v/>
      </c>
      <c r="W32" s="82" t="str">
        <f t="shared" si="2"/>
        <v/>
      </c>
      <c r="X32" s="82" t="str">
        <f t="shared" si="3"/>
        <v/>
      </c>
      <c r="Y32" s="82" t="str">
        <f t="shared" si="4"/>
        <v/>
      </c>
      <c r="Z32" s="82" t="str">
        <f t="shared" si="5"/>
        <v/>
      </c>
      <c r="AA32" s="82" t="str">
        <f t="shared" si="6"/>
        <v/>
      </c>
      <c r="AB32" s="82" t="str">
        <f t="shared" si="7"/>
        <v/>
      </c>
      <c r="AC32" s="82" t="str">
        <f t="shared" si="8"/>
        <v/>
      </c>
      <c r="AD32" s="82" t="str">
        <f t="shared" si="9"/>
        <v/>
      </c>
      <c r="AE32" s="82" t="str">
        <f t="shared" si="10"/>
        <v/>
      </c>
      <c r="AF32" s="82" t="str">
        <f t="shared" si="11"/>
        <v/>
      </c>
      <c r="AG32" s="82" t="str">
        <f t="shared" si="12"/>
        <v/>
      </c>
      <c r="AH32" s="82" t="str">
        <f t="shared" si="13"/>
        <v/>
      </c>
      <c r="AI32" s="82" t="str">
        <f t="shared" si="14"/>
        <v/>
      </c>
      <c r="AJ32" s="82" t="str">
        <f t="shared" si="15"/>
        <v/>
      </c>
      <c r="AK32" s="82" t="str">
        <f t="shared" si="16"/>
        <v/>
      </c>
      <c r="AL32" s="82" t="str">
        <f t="shared" si="16"/>
        <v/>
      </c>
      <c r="AM32" s="82"/>
      <c r="AN32" s="76">
        <f>Dvojice!$A32</f>
        <v>1</v>
      </c>
      <c r="AO32" s="77">
        <f>Dvojice!$B32</f>
        <v>0</v>
      </c>
      <c r="AP32" s="78">
        <f>Dvojice!$D32</f>
        <v>0</v>
      </c>
      <c r="AQ32" s="79">
        <f>Dvojice!$E32</f>
        <v>0</v>
      </c>
      <c r="AR32" s="79">
        <f>Dvojice!$F32</f>
        <v>0</v>
      </c>
      <c r="AS32" s="77" t="e">
        <f>#REF!</f>
        <v>#REF!</v>
      </c>
      <c r="AT32" s="77" t="e">
        <f>#REF!</f>
        <v>#REF!</v>
      </c>
      <c r="AU32" s="80">
        <f>Dvojice!$G32</f>
        <v>0</v>
      </c>
    </row>
    <row r="33" spans="1:47">
      <c r="A33" s="106">
        <f>RANK(Dvojice!$G33,Dvojice!$G$12:$G$39,0)</f>
        <v>1</v>
      </c>
      <c r="B33" s="112"/>
      <c r="C33" s="67"/>
      <c r="D33" s="68"/>
      <c r="E33" s="69"/>
      <c r="F33" s="70"/>
      <c r="G33" s="110"/>
      <c r="H33" s="71" t="str">
        <f>IFERROR(VLOOKUP(Dvojice!$B33,Bodovacka!D:E,2,FALSE),"x")</f>
        <v>x</v>
      </c>
      <c r="I33" s="108" t="str">
        <f t="shared" si="18"/>
        <v/>
      </c>
      <c r="J33" s="108" t="str">
        <f t="shared" si="19"/>
        <v/>
      </c>
      <c r="K33" s="108" t="str">
        <f t="shared" si="20"/>
        <v/>
      </c>
      <c r="L33" s="108" t="str">
        <f t="shared" si="21"/>
        <v/>
      </c>
      <c r="M33" s="108" t="str">
        <f t="shared" si="22"/>
        <v/>
      </c>
      <c r="N33" s="108" t="str">
        <f t="shared" si="23"/>
        <v/>
      </c>
      <c r="O33" s="108" t="str">
        <f t="shared" si="24"/>
        <v/>
      </c>
      <c r="P33" s="108" t="str">
        <f t="shared" si="25"/>
        <v/>
      </c>
      <c r="Q33" s="72" t="str">
        <f t="shared" si="0"/>
        <v/>
      </c>
      <c r="R33" s="72" t="str">
        <f t="shared" si="0"/>
        <v/>
      </c>
      <c r="S33" s="72" t="str">
        <f t="shared" si="0"/>
        <v/>
      </c>
      <c r="T33" s="72" t="str">
        <f t="shared" si="1"/>
        <v/>
      </c>
      <c r="U33" s="108"/>
      <c r="V33" s="75" t="str">
        <f t="shared" si="29"/>
        <v/>
      </c>
      <c r="W33" s="82" t="str">
        <f t="shared" si="2"/>
        <v/>
      </c>
      <c r="X33" s="82" t="str">
        <f t="shared" si="3"/>
        <v/>
      </c>
      <c r="Y33" s="82" t="str">
        <f t="shared" si="4"/>
        <v/>
      </c>
      <c r="Z33" s="82" t="str">
        <f t="shared" si="5"/>
        <v/>
      </c>
      <c r="AA33" s="82" t="str">
        <f t="shared" si="6"/>
        <v/>
      </c>
      <c r="AB33" s="82" t="str">
        <f t="shared" si="7"/>
        <v/>
      </c>
      <c r="AC33" s="82" t="str">
        <f t="shared" si="8"/>
        <v/>
      </c>
      <c r="AD33" s="82" t="str">
        <f t="shared" si="9"/>
        <v/>
      </c>
      <c r="AE33" s="82" t="str">
        <f t="shared" si="10"/>
        <v/>
      </c>
      <c r="AF33" s="82" t="str">
        <f t="shared" si="11"/>
        <v/>
      </c>
      <c r="AG33" s="82" t="str">
        <f t="shared" si="12"/>
        <v/>
      </c>
      <c r="AH33" s="82" t="str">
        <f t="shared" si="13"/>
        <v/>
      </c>
      <c r="AI33" s="82" t="str">
        <f t="shared" si="14"/>
        <v/>
      </c>
      <c r="AJ33" s="82" t="str">
        <f t="shared" si="15"/>
        <v/>
      </c>
      <c r="AK33" s="82" t="str">
        <f t="shared" si="16"/>
        <v/>
      </c>
      <c r="AL33" s="82" t="str">
        <f t="shared" si="16"/>
        <v/>
      </c>
      <c r="AM33" s="82"/>
      <c r="AN33" s="76">
        <f>Dvojice!$A33</f>
        <v>1</v>
      </c>
      <c r="AO33" s="77">
        <f>Dvojice!$B33</f>
        <v>0</v>
      </c>
      <c r="AP33" s="78">
        <f>Dvojice!$D33</f>
        <v>0</v>
      </c>
      <c r="AQ33" s="79">
        <f>Dvojice!$E33</f>
        <v>0</v>
      </c>
      <c r="AR33" s="79">
        <f>Dvojice!$F33</f>
        <v>0</v>
      </c>
      <c r="AS33" s="77" t="e">
        <f>#REF!</f>
        <v>#REF!</v>
      </c>
      <c r="AT33" s="77" t="e">
        <f>#REF!</f>
        <v>#REF!</v>
      </c>
      <c r="AU33" s="80">
        <f>Dvojice!$G33</f>
        <v>0</v>
      </c>
    </row>
    <row r="34" spans="1:47">
      <c r="A34" s="105">
        <f>RANK(Dvojice!$G34,Dvojice!$G$12:$G$39,0)</f>
        <v>1</v>
      </c>
      <c r="B34" s="111"/>
      <c r="C34" s="67"/>
      <c r="D34" s="68"/>
      <c r="E34" s="69"/>
      <c r="F34" s="70"/>
      <c r="G34" s="109">
        <f t="shared" ref="G34" si="36">SUM(I34:P35)+U34</f>
        <v>0</v>
      </c>
      <c r="H34" s="71" t="str">
        <f>IFERROR(VLOOKUP(Dvojice!$B34,Bodovacka!D:E,2,FALSE),"x")</f>
        <v>x</v>
      </c>
      <c r="I34" s="107" t="str">
        <f t="shared" si="18"/>
        <v/>
      </c>
      <c r="J34" s="107" t="str">
        <f t="shared" si="19"/>
        <v/>
      </c>
      <c r="K34" s="107" t="str">
        <f t="shared" si="20"/>
        <v/>
      </c>
      <c r="L34" s="107" t="str">
        <f t="shared" si="21"/>
        <v/>
      </c>
      <c r="M34" s="107" t="str">
        <f t="shared" si="22"/>
        <v/>
      </c>
      <c r="N34" s="107" t="str">
        <f t="shared" si="23"/>
        <v/>
      </c>
      <c r="O34" s="107" t="str">
        <f t="shared" si="24"/>
        <v/>
      </c>
      <c r="P34" s="107" t="str">
        <f t="shared" si="25"/>
        <v/>
      </c>
      <c r="Q34" s="72" t="str">
        <f t="shared" si="0"/>
        <v/>
      </c>
      <c r="R34" s="72" t="str">
        <f t="shared" si="0"/>
        <v/>
      </c>
      <c r="S34" s="72" t="str">
        <f t="shared" si="0"/>
        <v/>
      </c>
      <c r="T34" s="72" t="str">
        <f t="shared" si="1"/>
        <v/>
      </c>
      <c r="U34" s="107"/>
      <c r="V34" s="75" t="str">
        <f t="shared" si="29"/>
        <v/>
      </c>
      <c r="W34" s="82" t="str">
        <f t="shared" si="2"/>
        <v/>
      </c>
      <c r="X34" s="82" t="str">
        <f t="shared" si="3"/>
        <v/>
      </c>
      <c r="Y34" s="82" t="str">
        <f t="shared" si="4"/>
        <v/>
      </c>
      <c r="Z34" s="82" t="str">
        <f t="shared" si="5"/>
        <v/>
      </c>
      <c r="AA34" s="82" t="str">
        <f t="shared" si="6"/>
        <v/>
      </c>
      <c r="AB34" s="82" t="str">
        <f t="shared" si="7"/>
        <v/>
      </c>
      <c r="AC34" s="82" t="str">
        <f t="shared" si="8"/>
        <v/>
      </c>
      <c r="AD34" s="82" t="str">
        <f t="shared" si="9"/>
        <v/>
      </c>
      <c r="AE34" s="82" t="str">
        <f t="shared" si="10"/>
        <v/>
      </c>
      <c r="AF34" s="82" t="str">
        <f t="shared" si="11"/>
        <v/>
      </c>
      <c r="AG34" s="82" t="str">
        <f t="shared" si="12"/>
        <v/>
      </c>
      <c r="AH34" s="82" t="str">
        <f t="shared" si="13"/>
        <v/>
      </c>
      <c r="AI34" s="82" t="str">
        <f t="shared" si="14"/>
        <v/>
      </c>
      <c r="AJ34" s="82" t="str">
        <f t="shared" si="15"/>
        <v/>
      </c>
      <c r="AK34" s="82" t="str">
        <f t="shared" si="16"/>
        <v/>
      </c>
      <c r="AL34" s="82" t="str">
        <f t="shared" si="16"/>
        <v/>
      </c>
      <c r="AM34" s="82"/>
      <c r="AN34" s="76">
        <f>Dvojice!$A34</f>
        <v>1</v>
      </c>
      <c r="AO34" s="77">
        <f>Dvojice!$B34</f>
        <v>0</v>
      </c>
      <c r="AP34" s="78">
        <f>Dvojice!$D34</f>
        <v>0</v>
      </c>
      <c r="AQ34" s="79">
        <f>Dvojice!$E34</f>
        <v>0</v>
      </c>
      <c r="AR34" s="79">
        <f>Dvojice!$F34</f>
        <v>0</v>
      </c>
      <c r="AS34" s="77" t="e">
        <f>#REF!</f>
        <v>#REF!</v>
      </c>
      <c r="AT34" s="77" t="e">
        <f>#REF!</f>
        <v>#REF!</v>
      </c>
      <c r="AU34" s="80">
        <f>Dvojice!$G34</f>
        <v>0</v>
      </c>
    </row>
    <row r="35" spans="1:47">
      <c r="A35" s="106">
        <f>RANK(Dvojice!$G35,Dvojice!$G$12:$G$39,0)</f>
        <v>1</v>
      </c>
      <c r="B35" s="112"/>
      <c r="C35" s="67"/>
      <c r="D35" s="68"/>
      <c r="E35" s="69"/>
      <c r="F35" s="70"/>
      <c r="G35" s="110"/>
      <c r="H35" s="71" t="str">
        <f>IFERROR(VLOOKUP(Dvojice!$B35,Bodovacka!D:E,2,FALSE),"x")</f>
        <v>x</v>
      </c>
      <c r="I35" s="108" t="str">
        <f t="shared" si="18"/>
        <v/>
      </c>
      <c r="J35" s="108" t="str">
        <f t="shared" si="19"/>
        <v/>
      </c>
      <c r="K35" s="108" t="str">
        <f t="shared" si="20"/>
        <v/>
      </c>
      <c r="L35" s="108" t="str">
        <f t="shared" si="21"/>
        <v/>
      </c>
      <c r="M35" s="108" t="str">
        <f t="shared" si="22"/>
        <v/>
      </c>
      <c r="N35" s="108" t="str">
        <f t="shared" si="23"/>
        <v/>
      </c>
      <c r="O35" s="108" t="str">
        <f t="shared" si="24"/>
        <v/>
      </c>
      <c r="P35" s="108" t="str">
        <f t="shared" si="25"/>
        <v/>
      </c>
      <c r="Q35" s="72" t="str">
        <f t="shared" si="0"/>
        <v/>
      </c>
      <c r="R35" s="72" t="str">
        <f t="shared" si="0"/>
        <v/>
      </c>
      <c r="S35" s="72" t="str">
        <f t="shared" si="0"/>
        <v/>
      </c>
      <c r="T35" s="72" t="str">
        <f t="shared" si="1"/>
        <v/>
      </c>
      <c r="U35" s="108"/>
      <c r="V35" s="75" t="str">
        <f t="shared" si="29"/>
        <v/>
      </c>
      <c r="W35" s="82" t="str">
        <f t="shared" si="2"/>
        <v/>
      </c>
      <c r="X35" s="82" t="str">
        <f t="shared" si="3"/>
        <v/>
      </c>
      <c r="Y35" s="82" t="str">
        <f t="shared" si="4"/>
        <v/>
      </c>
      <c r="Z35" s="82" t="str">
        <f t="shared" si="5"/>
        <v/>
      </c>
      <c r="AA35" s="82" t="str">
        <f t="shared" si="6"/>
        <v/>
      </c>
      <c r="AB35" s="82" t="str">
        <f t="shared" si="7"/>
        <v/>
      </c>
      <c r="AC35" s="82" t="str">
        <f t="shared" si="8"/>
        <v/>
      </c>
      <c r="AD35" s="82" t="str">
        <f t="shared" si="9"/>
        <v/>
      </c>
      <c r="AE35" s="82" t="str">
        <f t="shared" si="10"/>
        <v/>
      </c>
      <c r="AF35" s="82" t="str">
        <f t="shared" si="11"/>
        <v/>
      </c>
      <c r="AG35" s="82" t="str">
        <f t="shared" si="12"/>
        <v/>
      </c>
      <c r="AH35" s="82" t="str">
        <f t="shared" si="13"/>
        <v/>
      </c>
      <c r="AI35" s="82" t="str">
        <f t="shared" si="14"/>
        <v/>
      </c>
      <c r="AJ35" s="82" t="str">
        <f t="shared" si="15"/>
        <v/>
      </c>
      <c r="AK35" s="82" t="str">
        <f t="shared" si="16"/>
        <v/>
      </c>
      <c r="AL35" s="82" t="str">
        <f t="shared" si="16"/>
        <v/>
      </c>
      <c r="AM35" s="82"/>
      <c r="AN35" s="76">
        <f>Dvojice!$A35</f>
        <v>1</v>
      </c>
      <c r="AO35" s="77">
        <f>Dvojice!$B35</f>
        <v>0</v>
      </c>
      <c r="AP35" s="78">
        <f>Dvojice!$D35</f>
        <v>0</v>
      </c>
      <c r="AQ35" s="79">
        <f>Dvojice!$E35</f>
        <v>0</v>
      </c>
      <c r="AR35" s="79">
        <f>Dvojice!$F35</f>
        <v>0</v>
      </c>
      <c r="AS35" s="77" t="e">
        <f>#REF!</f>
        <v>#REF!</v>
      </c>
      <c r="AT35" s="77" t="e">
        <f>#REF!</f>
        <v>#REF!</v>
      </c>
      <c r="AU35" s="80">
        <f>Dvojice!$G35</f>
        <v>0</v>
      </c>
    </row>
    <row r="36" spans="1:47">
      <c r="A36" s="105">
        <f>RANK(Dvojice!$G36,Dvojice!$G$12:$G$39,0)</f>
        <v>1</v>
      </c>
      <c r="B36" s="111"/>
      <c r="C36" s="67"/>
      <c r="D36" s="68"/>
      <c r="E36" s="69"/>
      <c r="F36" s="70"/>
      <c r="G36" s="109">
        <f t="shared" ref="G36" si="37">SUM(I36:P37)+U36</f>
        <v>0</v>
      </c>
      <c r="H36" s="71" t="str">
        <f>IFERROR(VLOOKUP(Dvojice!$B36,Bodovacka!D:E,2,FALSE),"x")</f>
        <v>x</v>
      </c>
      <c r="I36" s="107" t="str">
        <f t="shared" si="18"/>
        <v/>
      </c>
      <c r="J36" s="107" t="str">
        <f t="shared" si="19"/>
        <v/>
      </c>
      <c r="K36" s="107" t="str">
        <f t="shared" si="20"/>
        <v/>
      </c>
      <c r="L36" s="107" t="str">
        <f t="shared" si="21"/>
        <v/>
      </c>
      <c r="M36" s="107" t="str">
        <f t="shared" si="22"/>
        <v/>
      </c>
      <c r="N36" s="107" t="str">
        <f t="shared" si="23"/>
        <v/>
      </c>
      <c r="O36" s="107" t="str">
        <f t="shared" si="24"/>
        <v/>
      </c>
      <c r="P36" s="107" t="str">
        <f t="shared" si="25"/>
        <v/>
      </c>
      <c r="Q36" s="72" t="str">
        <f t="shared" si="0"/>
        <v/>
      </c>
      <c r="R36" s="72" t="str">
        <f t="shared" si="0"/>
        <v/>
      </c>
      <c r="S36" s="72" t="str">
        <f t="shared" si="0"/>
        <v/>
      </c>
      <c r="T36" s="72" t="str">
        <f t="shared" si="1"/>
        <v/>
      </c>
      <c r="U36" s="107"/>
      <c r="V36" s="75" t="str">
        <f t="shared" si="29"/>
        <v/>
      </c>
      <c r="W36" s="82" t="str">
        <f t="shared" si="2"/>
        <v/>
      </c>
      <c r="X36" s="82" t="str">
        <f t="shared" si="3"/>
        <v/>
      </c>
      <c r="Y36" s="82" t="str">
        <f t="shared" si="4"/>
        <v/>
      </c>
      <c r="Z36" s="82" t="str">
        <f t="shared" si="5"/>
        <v/>
      </c>
      <c r="AA36" s="82" t="str">
        <f t="shared" si="6"/>
        <v/>
      </c>
      <c r="AB36" s="82" t="str">
        <f t="shared" si="7"/>
        <v/>
      </c>
      <c r="AC36" s="82" t="str">
        <f t="shared" si="8"/>
        <v/>
      </c>
      <c r="AD36" s="82" t="str">
        <f t="shared" si="9"/>
        <v/>
      </c>
      <c r="AE36" s="82" t="str">
        <f t="shared" si="10"/>
        <v/>
      </c>
      <c r="AF36" s="82" t="str">
        <f t="shared" si="11"/>
        <v/>
      </c>
      <c r="AG36" s="82" t="str">
        <f t="shared" si="12"/>
        <v/>
      </c>
      <c r="AH36" s="82" t="str">
        <f t="shared" si="13"/>
        <v/>
      </c>
      <c r="AI36" s="82" t="str">
        <f t="shared" si="14"/>
        <v/>
      </c>
      <c r="AJ36" s="82" t="str">
        <f t="shared" si="15"/>
        <v/>
      </c>
      <c r="AK36" s="82" t="str">
        <f t="shared" si="16"/>
        <v/>
      </c>
      <c r="AL36" s="82" t="str">
        <f t="shared" si="16"/>
        <v/>
      </c>
      <c r="AM36" s="82"/>
      <c r="AN36" s="76">
        <f>Dvojice!$A36</f>
        <v>1</v>
      </c>
      <c r="AO36" s="77">
        <f>Dvojice!$B36</f>
        <v>0</v>
      </c>
      <c r="AP36" s="78">
        <f>Dvojice!$D36</f>
        <v>0</v>
      </c>
      <c r="AQ36" s="79">
        <f>Dvojice!$E36</f>
        <v>0</v>
      </c>
      <c r="AR36" s="79">
        <f>Dvojice!$F36</f>
        <v>0</v>
      </c>
      <c r="AS36" s="77" t="e">
        <f>#REF!</f>
        <v>#REF!</v>
      </c>
      <c r="AT36" s="77" t="e">
        <f>#REF!</f>
        <v>#REF!</v>
      </c>
      <c r="AU36" s="80">
        <f>Dvojice!$G36</f>
        <v>0</v>
      </c>
    </row>
    <row r="37" spans="1:47">
      <c r="A37" s="106">
        <f>RANK(Dvojice!$G37,Dvojice!$G$12:$G$39,0)</f>
        <v>1</v>
      </c>
      <c r="B37" s="112"/>
      <c r="C37" s="67"/>
      <c r="D37" s="68"/>
      <c r="E37" s="69"/>
      <c r="F37" s="70"/>
      <c r="G37" s="110"/>
      <c r="H37" s="71" t="str">
        <f>IFERROR(VLOOKUP(Dvojice!$B37,Bodovacka!D:E,2,FALSE),"x")</f>
        <v>x</v>
      </c>
      <c r="I37" s="108" t="str">
        <f t="shared" si="18"/>
        <v/>
      </c>
      <c r="J37" s="108" t="str">
        <f t="shared" si="19"/>
        <v/>
      </c>
      <c r="K37" s="108" t="str">
        <f t="shared" si="20"/>
        <v/>
      </c>
      <c r="L37" s="108" t="str">
        <f t="shared" si="21"/>
        <v/>
      </c>
      <c r="M37" s="108" t="str">
        <f t="shared" si="22"/>
        <v/>
      </c>
      <c r="N37" s="108" t="str">
        <f t="shared" si="23"/>
        <v/>
      </c>
      <c r="O37" s="108" t="str">
        <f t="shared" si="24"/>
        <v/>
      </c>
      <c r="P37" s="108" t="str">
        <f t="shared" si="25"/>
        <v/>
      </c>
      <c r="Q37" s="72" t="str">
        <f t="shared" si="0"/>
        <v/>
      </c>
      <c r="R37" s="72" t="str">
        <f t="shared" si="0"/>
        <v/>
      </c>
      <c r="S37" s="72" t="str">
        <f t="shared" si="0"/>
        <v/>
      </c>
      <c r="T37" s="72" t="str">
        <f t="shared" si="1"/>
        <v/>
      </c>
      <c r="U37" s="108"/>
      <c r="V37" s="75" t="str">
        <f t="shared" si="29"/>
        <v/>
      </c>
      <c r="W37" s="82" t="str">
        <f t="shared" si="2"/>
        <v/>
      </c>
      <c r="X37" s="82" t="str">
        <f t="shared" si="3"/>
        <v/>
      </c>
      <c r="Y37" s="82" t="str">
        <f t="shared" si="4"/>
        <v/>
      </c>
      <c r="Z37" s="82" t="str">
        <f t="shared" si="5"/>
        <v/>
      </c>
      <c r="AA37" s="82" t="str">
        <f t="shared" si="6"/>
        <v/>
      </c>
      <c r="AB37" s="82" t="str">
        <f t="shared" si="7"/>
        <v/>
      </c>
      <c r="AC37" s="82" t="str">
        <f t="shared" si="8"/>
        <v/>
      </c>
      <c r="AD37" s="82" t="str">
        <f t="shared" si="9"/>
        <v/>
      </c>
      <c r="AE37" s="82" t="str">
        <f t="shared" si="10"/>
        <v/>
      </c>
      <c r="AF37" s="82" t="str">
        <f t="shared" si="11"/>
        <v/>
      </c>
      <c r="AG37" s="82" t="str">
        <f t="shared" si="12"/>
        <v/>
      </c>
      <c r="AH37" s="82" t="str">
        <f t="shared" si="13"/>
        <v/>
      </c>
      <c r="AI37" s="82" t="str">
        <f t="shared" si="14"/>
        <v/>
      </c>
      <c r="AJ37" s="82" t="str">
        <f t="shared" si="15"/>
        <v/>
      </c>
      <c r="AK37" s="82" t="str">
        <f t="shared" si="16"/>
        <v/>
      </c>
      <c r="AL37" s="82" t="str">
        <f t="shared" si="16"/>
        <v/>
      </c>
      <c r="AM37" s="82"/>
      <c r="AN37" s="76">
        <f>Dvojice!$A37</f>
        <v>1</v>
      </c>
      <c r="AO37" s="77">
        <f>Dvojice!$B37</f>
        <v>0</v>
      </c>
      <c r="AP37" s="78">
        <f>Dvojice!$D37</f>
        <v>0</v>
      </c>
      <c r="AQ37" s="79">
        <f>Dvojice!$E37</f>
        <v>0</v>
      </c>
      <c r="AR37" s="79">
        <f>Dvojice!$F37</f>
        <v>0</v>
      </c>
      <c r="AS37" s="77" t="e">
        <f>#REF!</f>
        <v>#REF!</v>
      </c>
      <c r="AT37" s="77" t="e">
        <f>#REF!</f>
        <v>#REF!</v>
      </c>
      <c r="AU37" s="80">
        <f>Dvojice!$G37</f>
        <v>0</v>
      </c>
    </row>
    <row r="38" spans="1:47">
      <c r="A38" s="105">
        <f>RANK(Dvojice!$G38,Dvojice!$G$12:$G$39,0)</f>
        <v>1</v>
      </c>
      <c r="B38" s="111">
        <v>12</v>
      </c>
      <c r="C38" s="67">
        <v>0</v>
      </c>
      <c r="D38" s="68" t="s">
        <v>331</v>
      </c>
      <c r="E38" s="69" t="s">
        <v>165</v>
      </c>
      <c r="F38" s="70" t="s">
        <v>323</v>
      </c>
      <c r="G38" s="109">
        <f t="shared" ref="G38" si="38">SUM(I38:P39)+U38</f>
        <v>0</v>
      </c>
      <c r="H38" s="71">
        <f>IFERROR(VLOOKUP(Dvojice!$B38,Bodovacka!D:E,2,FALSE),"x")</f>
        <v>3</v>
      </c>
      <c r="I38" s="107" t="str">
        <f t="shared" si="18"/>
        <v/>
      </c>
      <c r="J38" s="107" t="str">
        <f t="shared" si="19"/>
        <v/>
      </c>
      <c r="K38" s="107" t="str">
        <f t="shared" si="20"/>
        <v/>
      </c>
      <c r="L38" s="107" t="str">
        <f t="shared" si="21"/>
        <v/>
      </c>
      <c r="M38" s="107" t="str">
        <f t="shared" si="22"/>
        <v/>
      </c>
      <c r="N38" s="107" t="str">
        <f t="shared" si="23"/>
        <v/>
      </c>
      <c r="O38" s="107" t="str">
        <f t="shared" si="24"/>
        <v/>
      </c>
      <c r="P38" s="107" t="str">
        <f t="shared" si="25"/>
        <v/>
      </c>
      <c r="Q38" s="72" t="str">
        <f t="shared" si="0"/>
        <v/>
      </c>
      <c r="R38" s="72" t="str">
        <f t="shared" si="0"/>
        <v/>
      </c>
      <c r="S38" s="72" t="str">
        <f t="shared" si="0"/>
        <v/>
      </c>
      <c r="T38" s="72" t="str">
        <f t="shared" si="1"/>
        <v/>
      </c>
      <c r="U38" s="107"/>
      <c r="V38" s="75" t="str">
        <f t="shared" si="29"/>
        <v/>
      </c>
      <c r="W38" s="83" t="str">
        <f t="shared" si="2"/>
        <v/>
      </c>
      <c r="X38" s="83" t="str">
        <f t="shared" si="3"/>
        <v/>
      </c>
      <c r="Y38" s="83" t="str">
        <f t="shared" si="4"/>
        <v/>
      </c>
      <c r="Z38" s="82" t="str">
        <f t="shared" si="5"/>
        <v/>
      </c>
      <c r="AA38" s="82" t="str">
        <f t="shared" si="6"/>
        <v/>
      </c>
      <c r="AB38" s="82" t="str">
        <f t="shared" si="7"/>
        <v/>
      </c>
      <c r="AC38" s="82" t="str">
        <f t="shared" si="8"/>
        <v/>
      </c>
      <c r="AD38" s="82" t="str">
        <f t="shared" si="9"/>
        <v/>
      </c>
      <c r="AE38" s="82" t="str">
        <f t="shared" si="10"/>
        <v/>
      </c>
      <c r="AF38" s="82" t="str">
        <f t="shared" si="11"/>
        <v/>
      </c>
      <c r="AG38" s="82" t="str">
        <f t="shared" si="12"/>
        <v/>
      </c>
      <c r="AH38" s="82" t="str">
        <f t="shared" si="13"/>
        <v/>
      </c>
      <c r="AI38" s="82" t="str">
        <f t="shared" si="14"/>
        <v/>
      </c>
      <c r="AJ38" s="82" t="str">
        <f t="shared" si="15"/>
        <v/>
      </c>
      <c r="AK38" s="82" t="str">
        <f t="shared" si="16"/>
        <v/>
      </c>
      <c r="AL38" s="82" t="str">
        <f t="shared" si="16"/>
        <v/>
      </c>
      <c r="AM38" s="82"/>
      <c r="AN38" s="76">
        <v>11</v>
      </c>
      <c r="AO38" s="77">
        <f>Dvojice!$B38</f>
        <v>12</v>
      </c>
      <c r="AP38" s="78" t="str">
        <f>Dvojice!$D38</f>
        <v>ŽÁK Jakub</v>
      </c>
      <c r="AQ38" s="79" t="str">
        <f>Dvojice!$E38</f>
        <v>TJ Favorit Brno</v>
      </c>
      <c r="AR38" s="79" t="str">
        <f>Dvojice!$F38</f>
        <v>U19</v>
      </c>
      <c r="AS38" s="77" t="e">
        <f>#REF!</f>
        <v>#REF!</v>
      </c>
      <c r="AT38" s="77" t="e">
        <f>#REF!</f>
        <v>#REF!</v>
      </c>
      <c r="AU38" s="80">
        <f>Dvojice!$G38</f>
        <v>0</v>
      </c>
    </row>
    <row r="39" spans="1:47">
      <c r="A39" s="106">
        <f>RANK(Dvojice!$G39,Dvojice!$G$12:$G$39,0)</f>
        <v>1</v>
      </c>
      <c r="B39" s="112">
        <v>7</v>
      </c>
      <c r="C39" s="15">
        <v>10119486200</v>
      </c>
      <c r="D39" s="16" t="s">
        <v>322</v>
      </c>
      <c r="E39" s="17" t="s">
        <v>127</v>
      </c>
      <c r="F39" s="18" t="s">
        <v>323</v>
      </c>
      <c r="G39" s="110"/>
      <c r="H39" s="86">
        <f>IFERROR(VLOOKUP(Dvojice!$B39,Bodovacka!D:E,2,FALSE),"x")</f>
        <v>23</v>
      </c>
      <c r="I39" s="108" t="str">
        <f t="shared" si="18"/>
        <v/>
      </c>
      <c r="J39" s="108" t="str">
        <f t="shared" si="19"/>
        <v/>
      </c>
      <c r="K39" s="108" t="str">
        <f t="shared" si="20"/>
        <v/>
      </c>
      <c r="L39" s="108" t="str">
        <f t="shared" si="21"/>
        <v/>
      </c>
      <c r="M39" s="108" t="str">
        <f t="shared" si="22"/>
        <v/>
      </c>
      <c r="N39" s="108" t="str">
        <f t="shared" si="23"/>
        <v/>
      </c>
      <c r="O39" s="108" t="str">
        <f t="shared" si="24"/>
        <v/>
      </c>
      <c r="P39" s="108" t="str">
        <f t="shared" si="25"/>
        <v/>
      </c>
      <c r="Q39" s="87" t="str">
        <f t="shared" si="0"/>
        <v/>
      </c>
      <c r="R39" s="87" t="str">
        <f t="shared" si="0"/>
        <v/>
      </c>
      <c r="S39" s="87" t="str">
        <f t="shared" si="0"/>
        <v/>
      </c>
      <c r="T39" s="87" t="str">
        <f t="shared" si="1"/>
        <v/>
      </c>
      <c r="U39" s="108"/>
      <c r="V39" s="88" t="str">
        <f t="shared" si="29"/>
        <v/>
      </c>
      <c r="W39" s="58" t="str">
        <f t="shared" si="2"/>
        <v/>
      </c>
      <c r="X39" s="58" t="str">
        <f t="shared" si="3"/>
        <v/>
      </c>
      <c r="Y39" s="58" t="str">
        <f t="shared" si="4"/>
        <v/>
      </c>
      <c r="Z39" s="58" t="str">
        <f t="shared" si="5"/>
        <v/>
      </c>
      <c r="AA39" s="58" t="str">
        <f t="shared" si="6"/>
        <v/>
      </c>
      <c r="AB39" s="58" t="str">
        <f t="shared" si="7"/>
        <v/>
      </c>
      <c r="AC39" s="58" t="str">
        <f t="shared" si="8"/>
        <v/>
      </c>
      <c r="AD39" s="58" t="str">
        <f t="shared" si="9"/>
        <v/>
      </c>
      <c r="AE39" s="58" t="str">
        <f t="shared" si="10"/>
        <v/>
      </c>
      <c r="AF39" s="58" t="str">
        <f t="shared" si="11"/>
        <v/>
      </c>
      <c r="AG39" s="58" t="str">
        <f t="shared" si="12"/>
        <v/>
      </c>
      <c r="AH39" s="58" t="str">
        <f t="shared" si="13"/>
        <v/>
      </c>
      <c r="AI39" s="58" t="str">
        <f t="shared" si="14"/>
        <v/>
      </c>
      <c r="AJ39" s="58" t="str">
        <f t="shared" si="15"/>
        <v/>
      </c>
      <c r="AK39" s="58" t="str">
        <f t="shared" si="16"/>
        <v/>
      </c>
      <c r="AL39" s="58" t="str">
        <f t="shared" si="16"/>
        <v/>
      </c>
      <c r="AM39" s="58"/>
      <c r="AN39" s="89" t="s">
        <v>82</v>
      </c>
      <c r="AO39" s="90">
        <f>Dvojice!$B39</f>
        <v>7</v>
      </c>
      <c r="AP39" s="91" t="str">
        <f>Dvojice!$D39</f>
        <v>ŠOLTÝS Kristián</v>
      </c>
      <c r="AQ39" s="92" t="str">
        <f>Dvojice!$E39</f>
        <v>CYKLO SPIŠ</v>
      </c>
      <c r="AR39" s="92" t="str">
        <f>Dvojice!$F39</f>
        <v>U19</v>
      </c>
      <c r="AS39" s="90" t="e">
        <f>#REF!</f>
        <v>#REF!</v>
      </c>
      <c r="AT39" s="90" t="e">
        <f>#REF!</f>
        <v>#REF!</v>
      </c>
      <c r="AU39" s="59" t="s">
        <v>83</v>
      </c>
    </row>
    <row r="40" spans="1:47">
      <c r="A40" s="24" t="s">
        <v>79</v>
      </c>
      <c r="B40" s="24"/>
      <c r="C40" s="24"/>
      <c r="D40" s="24">
        <f>COUNT(Dvojice!$B$12:$B$39)</f>
        <v>10</v>
      </c>
      <c r="E40" s="24"/>
      <c r="F40" s="25"/>
    </row>
    <row r="42" spans="1:47">
      <c r="AN42" t="s">
        <v>80</v>
      </c>
      <c r="AQ42" s="54">
        <f>D40</f>
        <v>10</v>
      </c>
    </row>
  </sheetData>
  <autoFilter ref="A11:AU11" xr:uid="{674A69EA-C802-40A2-936C-D6D7B3F66A71}"/>
  <mergeCells count="175">
    <mergeCell ref="AN4:AU4"/>
    <mergeCell ref="I6:T6"/>
    <mergeCell ref="V6:AL6"/>
    <mergeCell ref="AS6:AT6"/>
    <mergeCell ref="B12:B13"/>
    <mergeCell ref="B14:B15"/>
    <mergeCell ref="A12:A13"/>
    <mergeCell ref="A14:A15"/>
    <mergeCell ref="I12:I13"/>
    <mergeCell ref="J12:J13"/>
    <mergeCell ref="I14:I15"/>
    <mergeCell ref="J14:J15"/>
    <mergeCell ref="A1:F1"/>
    <mergeCell ref="A3:D3"/>
    <mergeCell ref="A4:F4"/>
    <mergeCell ref="I34:I35"/>
    <mergeCell ref="I36:I37"/>
    <mergeCell ref="I38:I39"/>
    <mergeCell ref="I16:I17"/>
    <mergeCell ref="I18:I19"/>
    <mergeCell ref="I20:I21"/>
    <mergeCell ref="I22:I23"/>
    <mergeCell ref="I24:I25"/>
    <mergeCell ref="I26:I27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J34:J35"/>
    <mergeCell ref="J36:J37"/>
    <mergeCell ref="J38:J39"/>
    <mergeCell ref="J16:J17"/>
    <mergeCell ref="J18:J19"/>
    <mergeCell ref="J20:J21"/>
    <mergeCell ref="J22:J23"/>
    <mergeCell ref="J24:J25"/>
    <mergeCell ref="J26:J27"/>
    <mergeCell ref="K38:K39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K26:K27"/>
    <mergeCell ref="K28:K29"/>
    <mergeCell ref="K30:K31"/>
    <mergeCell ref="K32:K33"/>
    <mergeCell ref="K34:K35"/>
    <mergeCell ref="K36:K37"/>
    <mergeCell ref="K14:K15"/>
    <mergeCell ref="K16:K17"/>
    <mergeCell ref="K18:K19"/>
    <mergeCell ref="K20:K21"/>
    <mergeCell ref="K22:K23"/>
    <mergeCell ref="K24:K25"/>
    <mergeCell ref="L34:L35"/>
    <mergeCell ref="L36:L37"/>
    <mergeCell ref="L38:L39"/>
    <mergeCell ref="M14:M15"/>
    <mergeCell ref="M16:M17"/>
    <mergeCell ref="M18:M19"/>
    <mergeCell ref="M20:M21"/>
    <mergeCell ref="M22:M23"/>
    <mergeCell ref="M24:M25"/>
    <mergeCell ref="M38:M39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M26:M27"/>
    <mergeCell ref="M28:M29"/>
    <mergeCell ref="M30:M31"/>
    <mergeCell ref="M32:M33"/>
    <mergeCell ref="M34:M35"/>
    <mergeCell ref="M36:M37"/>
    <mergeCell ref="N34:N35"/>
    <mergeCell ref="N38:N39"/>
    <mergeCell ref="O14:O15"/>
    <mergeCell ref="O16:O17"/>
    <mergeCell ref="O18:O19"/>
    <mergeCell ref="O20:O21"/>
    <mergeCell ref="O22:O23"/>
    <mergeCell ref="O24:O25"/>
    <mergeCell ref="P38:P39"/>
    <mergeCell ref="O38:O39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O26:O27"/>
    <mergeCell ref="O28:O29"/>
    <mergeCell ref="O30:O31"/>
    <mergeCell ref="O32:O33"/>
    <mergeCell ref="O34:O35"/>
    <mergeCell ref="G12:G13"/>
    <mergeCell ref="U12:U13"/>
    <mergeCell ref="U14:U15"/>
    <mergeCell ref="U16:U17"/>
    <mergeCell ref="U18:U19"/>
    <mergeCell ref="U20:U21"/>
    <mergeCell ref="U22:U23"/>
    <mergeCell ref="U24:U25"/>
    <mergeCell ref="P32:P33"/>
    <mergeCell ref="N32:N33"/>
    <mergeCell ref="L32:L33"/>
    <mergeCell ref="J28:J29"/>
    <mergeCell ref="J30:J31"/>
    <mergeCell ref="J32:J33"/>
    <mergeCell ref="K12:K13"/>
    <mergeCell ref="L12:L13"/>
    <mergeCell ref="M12:M13"/>
    <mergeCell ref="N12:N13"/>
    <mergeCell ref="O12:O13"/>
    <mergeCell ref="P12:P13"/>
    <mergeCell ref="I28:I29"/>
    <mergeCell ref="I30:I31"/>
    <mergeCell ref="I32:I33"/>
    <mergeCell ref="U38:U39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U26:U27"/>
    <mergeCell ref="U28:U29"/>
    <mergeCell ref="U30:U31"/>
    <mergeCell ref="U32:U33"/>
    <mergeCell ref="U34:U35"/>
    <mergeCell ref="U36:U37"/>
    <mergeCell ref="P34:P35"/>
    <mergeCell ref="P36:P37"/>
    <mergeCell ref="G32:G33"/>
    <mergeCell ref="G34:G35"/>
    <mergeCell ref="G36:G37"/>
    <mergeCell ref="G38:G39"/>
    <mergeCell ref="O36:O37"/>
    <mergeCell ref="N36:N37"/>
    <mergeCell ref="A28:A29"/>
    <mergeCell ref="A30:A31"/>
    <mergeCell ref="A32:A33"/>
    <mergeCell ref="A34:A35"/>
    <mergeCell ref="A36:A37"/>
    <mergeCell ref="A38:A39"/>
    <mergeCell ref="A16:A17"/>
    <mergeCell ref="A18:A19"/>
    <mergeCell ref="A20:A21"/>
    <mergeCell ref="A22:A23"/>
    <mergeCell ref="A24:A25"/>
    <mergeCell ref="A26:A27"/>
  </mergeCells>
  <pageMargins left="0.7" right="0.7" top="0.75" bottom="0.75" header="0.51180555555555496" footer="0.51180555555555496"/>
  <pageSetup paperSize="9" scale="83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2DDE-64FB-4976-A3D5-2EAE735AAE41}">
  <dimension ref="B2:I112"/>
  <sheetViews>
    <sheetView workbookViewId="0">
      <selection activeCell="E13" sqref="E13"/>
    </sheetView>
  </sheetViews>
  <sheetFormatPr defaultRowHeight="15"/>
  <cols>
    <col min="2" max="2" width="24.7109375" customWidth="1"/>
    <col min="3" max="3" width="28.28515625" customWidth="1"/>
    <col min="4" max="4" width="16.85546875" customWidth="1"/>
    <col min="5" max="5" width="19" customWidth="1"/>
    <col min="6" max="6" width="36.140625" customWidth="1"/>
  </cols>
  <sheetData>
    <row r="2" spans="2:9">
      <c r="D2" t="s">
        <v>291</v>
      </c>
      <c r="E2" t="s">
        <v>292</v>
      </c>
      <c r="F2" t="s">
        <v>293</v>
      </c>
      <c r="G2" t="s">
        <v>294</v>
      </c>
      <c r="H2" t="s">
        <v>295</v>
      </c>
      <c r="I2" t="s">
        <v>296</v>
      </c>
    </row>
    <row r="3" spans="2:9">
      <c r="B3" s="55"/>
      <c r="D3" t="s">
        <v>148</v>
      </c>
      <c r="E3" t="s">
        <v>149</v>
      </c>
      <c r="F3" t="s">
        <v>150</v>
      </c>
      <c r="G3">
        <v>1955</v>
      </c>
      <c r="H3" t="s">
        <v>98</v>
      </c>
      <c r="I3" t="s">
        <v>107</v>
      </c>
    </row>
    <row r="4" spans="2:9">
      <c r="B4" s="55"/>
      <c r="D4" t="s">
        <v>138</v>
      </c>
      <c r="E4" t="s">
        <v>139</v>
      </c>
      <c r="F4" t="s">
        <v>127</v>
      </c>
      <c r="G4">
        <v>2005</v>
      </c>
      <c r="H4" t="s">
        <v>140</v>
      </c>
      <c r="I4" t="s">
        <v>141</v>
      </c>
    </row>
    <row r="5" spans="2:9">
      <c r="B5" s="55"/>
      <c r="D5" t="s">
        <v>188</v>
      </c>
      <c r="E5" t="s">
        <v>189</v>
      </c>
      <c r="F5" t="s">
        <v>190</v>
      </c>
      <c r="G5">
        <v>2005</v>
      </c>
      <c r="H5" t="s">
        <v>140</v>
      </c>
      <c r="I5" t="s">
        <v>141</v>
      </c>
    </row>
    <row r="6" spans="2:9">
      <c r="B6" s="55"/>
      <c r="D6" t="s">
        <v>221</v>
      </c>
      <c r="E6" t="s">
        <v>222</v>
      </c>
      <c r="F6" t="s">
        <v>205</v>
      </c>
      <c r="G6">
        <v>2005</v>
      </c>
      <c r="H6" t="s">
        <v>140</v>
      </c>
      <c r="I6" t="s">
        <v>141</v>
      </c>
    </row>
    <row r="7" spans="2:9">
      <c r="B7" s="55"/>
      <c r="D7" t="s">
        <v>277</v>
      </c>
      <c r="E7" t="s">
        <v>278</v>
      </c>
      <c r="F7" t="s">
        <v>276</v>
      </c>
      <c r="G7">
        <v>2005</v>
      </c>
      <c r="H7" t="s">
        <v>140</v>
      </c>
      <c r="I7" t="s">
        <v>141</v>
      </c>
    </row>
    <row r="8" spans="2:9">
      <c r="B8" s="55"/>
      <c r="D8" t="s">
        <v>108</v>
      </c>
      <c r="E8" t="s">
        <v>109</v>
      </c>
      <c r="F8" t="s">
        <v>110</v>
      </c>
      <c r="G8">
        <v>2005</v>
      </c>
      <c r="H8" t="s">
        <v>98</v>
      </c>
      <c r="I8" t="s">
        <v>111</v>
      </c>
    </row>
    <row r="9" spans="2:9">
      <c r="B9" s="55"/>
      <c r="D9" t="s">
        <v>152</v>
      </c>
      <c r="E9" t="s">
        <v>153</v>
      </c>
      <c r="F9" t="s">
        <v>154</v>
      </c>
      <c r="G9">
        <v>2005</v>
      </c>
      <c r="H9" t="s">
        <v>98</v>
      </c>
      <c r="I9" t="s">
        <v>111</v>
      </c>
    </row>
    <row r="10" spans="2:9">
      <c r="B10" s="55"/>
      <c r="D10" t="s">
        <v>155</v>
      </c>
      <c r="E10" t="s">
        <v>156</v>
      </c>
      <c r="F10" t="s">
        <v>154</v>
      </c>
      <c r="G10">
        <v>2005</v>
      </c>
      <c r="H10" t="s">
        <v>98</v>
      </c>
      <c r="I10" t="s">
        <v>111</v>
      </c>
    </row>
    <row r="11" spans="2:9">
      <c r="B11" s="55"/>
      <c r="D11" t="s">
        <v>179</v>
      </c>
      <c r="E11" t="s">
        <v>238</v>
      </c>
      <c r="F11" t="s">
        <v>165</v>
      </c>
      <c r="G11">
        <v>2004</v>
      </c>
      <c r="H11" t="s">
        <v>98</v>
      </c>
      <c r="I11" t="s">
        <v>111</v>
      </c>
    </row>
    <row r="12" spans="2:9">
      <c r="B12" s="55"/>
      <c r="D12" t="s">
        <v>102</v>
      </c>
      <c r="E12" t="s">
        <v>239</v>
      </c>
      <c r="F12" t="s">
        <v>165</v>
      </c>
      <c r="G12">
        <v>2004</v>
      </c>
      <c r="H12" t="s">
        <v>98</v>
      </c>
      <c r="I12" t="s">
        <v>111</v>
      </c>
    </row>
    <row r="13" spans="2:9">
      <c r="B13" s="55"/>
      <c r="D13" t="s">
        <v>95</v>
      </c>
      <c r="E13" t="s">
        <v>240</v>
      </c>
      <c r="F13" t="s">
        <v>165</v>
      </c>
      <c r="G13">
        <v>2004</v>
      </c>
      <c r="H13" t="s">
        <v>98</v>
      </c>
      <c r="I13" t="s">
        <v>111</v>
      </c>
    </row>
    <row r="14" spans="2:9">
      <c r="B14" s="55"/>
      <c r="D14" t="s">
        <v>241</v>
      </c>
      <c r="E14" t="s">
        <v>242</v>
      </c>
      <c r="F14" t="s">
        <v>165</v>
      </c>
      <c r="G14">
        <v>2004</v>
      </c>
      <c r="H14" t="s">
        <v>98</v>
      </c>
      <c r="I14" t="s">
        <v>111</v>
      </c>
    </row>
    <row r="15" spans="2:9">
      <c r="B15" s="55"/>
      <c r="D15" t="s">
        <v>243</v>
      </c>
      <c r="E15" t="s">
        <v>176</v>
      </c>
      <c r="F15" t="s">
        <v>165</v>
      </c>
      <c r="G15">
        <v>2004</v>
      </c>
      <c r="H15" t="s">
        <v>98</v>
      </c>
      <c r="I15" t="s">
        <v>111</v>
      </c>
    </row>
    <row r="16" spans="2:9">
      <c r="B16" s="55"/>
      <c r="D16" t="s">
        <v>128</v>
      </c>
      <c r="E16" t="s">
        <v>244</v>
      </c>
      <c r="F16" t="s">
        <v>165</v>
      </c>
      <c r="G16">
        <v>2005</v>
      </c>
      <c r="H16" t="s">
        <v>98</v>
      </c>
      <c r="I16" t="s">
        <v>111</v>
      </c>
    </row>
    <row r="17" spans="2:9">
      <c r="B17" s="55"/>
      <c r="D17" t="s">
        <v>166</v>
      </c>
      <c r="E17" t="s">
        <v>245</v>
      </c>
      <c r="F17" t="s">
        <v>165</v>
      </c>
      <c r="G17">
        <v>2005</v>
      </c>
      <c r="H17" t="s">
        <v>98</v>
      </c>
      <c r="I17" t="s">
        <v>111</v>
      </c>
    </row>
    <row r="18" spans="2:9">
      <c r="B18" s="55"/>
      <c r="D18" t="s">
        <v>249</v>
      </c>
      <c r="E18" t="s">
        <v>250</v>
      </c>
      <c r="F18" t="s">
        <v>165</v>
      </c>
      <c r="G18">
        <v>2005</v>
      </c>
      <c r="H18" t="s">
        <v>98</v>
      </c>
      <c r="I18" t="s">
        <v>111</v>
      </c>
    </row>
    <row r="19" spans="2:9">
      <c r="B19" s="55"/>
      <c r="D19" t="s">
        <v>251</v>
      </c>
      <c r="E19" t="s">
        <v>252</v>
      </c>
      <c r="F19" t="s">
        <v>247</v>
      </c>
      <c r="G19">
        <v>2004</v>
      </c>
      <c r="H19" t="s">
        <v>98</v>
      </c>
      <c r="I19" t="s">
        <v>111</v>
      </c>
    </row>
    <row r="20" spans="2:9">
      <c r="B20" s="55"/>
      <c r="D20" t="s">
        <v>253</v>
      </c>
      <c r="E20" t="s">
        <v>254</v>
      </c>
      <c r="F20" t="s">
        <v>165</v>
      </c>
      <c r="G20">
        <v>2005</v>
      </c>
      <c r="H20" t="s">
        <v>98</v>
      </c>
      <c r="I20" t="s">
        <v>111</v>
      </c>
    </row>
    <row r="21" spans="2:9">
      <c r="B21" s="55"/>
      <c r="D21" t="s">
        <v>255</v>
      </c>
      <c r="E21" t="s">
        <v>256</v>
      </c>
      <c r="F21" t="s">
        <v>247</v>
      </c>
      <c r="G21">
        <v>2005</v>
      </c>
      <c r="H21" t="s">
        <v>98</v>
      </c>
      <c r="I21" t="s">
        <v>111</v>
      </c>
    </row>
    <row r="22" spans="2:9">
      <c r="B22" s="55"/>
      <c r="D22" t="s">
        <v>274</v>
      </c>
      <c r="E22" t="s">
        <v>275</v>
      </c>
      <c r="F22" t="s">
        <v>276</v>
      </c>
      <c r="G22">
        <v>2004</v>
      </c>
      <c r="H22" t="s">
        <v>98</v>
      </c>
      <c r="I22" t="s">
        <v>111</v>
      </c>
    </row>
    <row r="23" spans="2:9">
      <c r="B23" s="55"/>
      <c r="D23" t="s">
        <v>112</v>
      </c>
      <c r="E23" t="s">
        <v>113</v>
      </c>
      <c r="F23" t="s">
        <v>114</v>
      </c>
      <c r="G23">
        <v>2006</v>
      </c>
      <c r="H23" t="s">
        <v>98</v>
      </c>
      <c r="I23" t="s">
        <v>115</v>
      </c>
    </row>
    <row r="24" spans="2:9">
      <c r="B24" s="55"/>
      <c r="D24" t="s">
        <v>116</v>
      </c>
      <c r="E24" t="s">
        <v>117</v>
      </c>
      <c r="F24" t="s">
        <v>118</v>
      </c>
      <c r="G24">
        <v>2007</v>
      </c>
      <c r="H24" t="s">
        <v>98</v>
      </c>
      <c r="I24" t="s">
        <v>115</v>
      </c>
    </row>
    <row r="25" spans="2:9">
      <c r="B25" s="55"/>
      <c r="D25" t="s">
        <v>119</v>
      </c>
      <c r="E25" t="s">
        <v>120</v>
      </c>
      <c r="F25" t="s">
        <v>118</v>
      </c>
      <c r="G25">
        <v>2006</v>
      </c>
      <c r="H25" t="s">
        <v>98</v>
      </c>
      <c r="I25" t="s">
        <v>115</v>
      </c>
    </row>
    <row r="26" spans="2:9">
      <c r="B26" s="55"/>
      <c r="D26" t="s">
        <v>121</v>
      </c>
      <c r="E26" t="s">
        <v>122</v>
      </c>
      <c r="F26" t="s">
        <v>114</v>
      </c>
      <c r="G26">
        <v>2007</v>
      </c>
      <c r="H26" t="s">
        <v>98</v>
      </c>
      <c r="I26" t="s">
        <v>115</v>
      </c>
    </row>
    <row r="27" spans="2:9">
      <c r="B27" s="55"/>
      <c r="D27" t="s">
        <v>131</v>
      </c>
      <c r="E27" t="s">
        <v>132</v>
      </c>
      <c r="F27" t="s">
        <v>127</v>
      </c>
      <c r="G27">
        <v>2007</v>
      </c>
      <c r="H27" t="s">
        <v>98</v>
      </c>
      <c r="I27" t="s">
        <v>115</v>
      </c>
    </row>
    <row r="28" spans="2:9">
      <c r="B28" s="55"/>
      <c r="D28" t="s">
        <v>102</v>
      </c>
      <c r="E28" t="s">
        <v>157</v>
      </c>
      <c r="F28" t="s">
        <v>154</v>
      </c>
      <c r="G28">
        <v>2007</v>
      </c>
      <c r="H28" t="s">
        <v>98</v>
      </c>
      <c r="I28" t="s">
        <v>115</v>
      </c>
    </row>
    <row r="29" spans="2:9">
      <c r="B29" s="55"/>
      <c r="D29" t="s">
        <v>158</v>
      </c>
      <c r="E29" t="s">
        <v>159</v>
      </c>
      <c r="F29" t="s">
        <v>154</v>
      </c>
      <c r="G29">
        <v>2006</v>
      </c>
      <c r="H29" t="s">
        <v>98</v>
      </c>
      <c r="I29" t="s">
        <v>115</v>
      </c>
    </row>
    <row r="30" spans="2:9">
      <c r="B30" s="55"/>
      <c r="D30" t="s">
        <v>125</v>
      </c>
      <c r="E30" t="s">
        <v>160</v>
      </c>
      <c r="F30" t="s">
        <v>154</v>
      </c>
      <c r="G30">
        <v>2007</v>
      </c>
      <c r="H30" t="s">
        <v>98</v>
      </c>
      <c r="I30" t="s">
        <v>115</v>
      </c>
    </row>
    <row r="31" spans="2:9">
      <c r="B31" s="55"/>
      <c r="D31" t="s">
        <v>191</v>
      </c>
      <c r="E31" t="s">
        <v>192</v>
      </c>
      <c r="F31" t="s">
        <v>190</v>
      </c>
      <c r="G31">
        <v>2007</v>
      </c>
      <c r="H31" t="s">
        <v>98</v>
      </c>
      <c r="I31" t="s">
        <v>115</v>
      </c>
    </row>
    <row r="32" spans="2:9">
      <c r="B32" s="55"/>
      <c r="D32" t="s">
        <v>95</v>
      </c>
      <c r="E32" t="s">
        <v>193</v>
      </c>
      <c r="F32" t="s">
        <v>190</v>
      </c>
      <c r="G32">
        <v>2007</v>
      </c>
      <c r="H32" t="s">
        <v>98</v>
      </c>
      <c r="I32" t="s">
        <v>115</v>
      </c>
    </row>
    <row r="33" spans="2:9">
      <c r="B33" s="55"/>
      <c r="D33" t="s">
        <v>216</v>
      </c>
      <c r="E33" t="s">
        <v>217</v>
      </c>
      <c r="F33" t="s">
        <v>205</v>
      </c>
      <c r="G33">
        <v>2007</v>
      </c>
      <c r="H33" t="s">
        <v>98</v>
      </c>
      <c r="I33" t="s">
        <v>115</v>
      </c>
    </row>
    <row r="34" spans="2:9">
      <c r="B34" s="55"/>
      <c r="D34" t="s">
        <v>191</v>
      </c>
      <c r="E34" t="s">
        <v>218</v>
      </c>
      <c r="F34" t="s">
        <v>205</v>
      </c>
      <c r="G34">
        <v>2006</v>
      </c>
      <c r="H34" t="s">
        <v>98</v>
      </c>
      <c r="I34" t="s">
        <v>115</v>
      </c>
    </row>
    <row r="35" spans="2:9">
      <c r="B35" s="55"/>
      <c r="D35" t="s">
        <v>108</v>
      </c>
      <c r="E35" t="s">
        <v>219</v>
      </c>
      <c r="F35" t="s">
        <v>205</v>
      </c>
      <c r="G35">
        <v>2007</v>
      </c>
      <c r="H35" t="s">
        <v>98</v>
      </c>
      <c r="I35" t="s">
        <v>115</v>
      </c>
    </row>
    <row r="36" spans="2:9">
      <c r="B36" s="55"/>
      <c r="D36" t="s">
        <v>108</v>
      </c>
      <c r="E36" t="s">
        <v>220</v>
      </c>
      <c r="F36" t="s">
        <v>205</v>
      </c>
      <c r="G36">
        <v>2007</v>
      </c>
      <c r="H36" t="s">
        <v>98</v>
      </c>
      <c r="I36" t="s">
        <v>115</v>
      </c>
    </row>
    <row r="37" spans="2:9">
      <c r="B37" s="55"/>
      <c r="D37" t="s">
        <v>233</v>
      </c>
      <c r="E37" t="s">
        <v>234</v>
      </c>
      <c r="F37" t="s">
        <v>118</v>
      </c>
      <c r="G37">
        <v>2006</v>
      </c>
      <c r="H37" t="s">
        <v>98</v>
      </c>
      <c r="I37" t="s">
        <v>115</v>
      </c>
    </row>
    <row r="38" spans="2:9">
      <c r="B38" s="55"/>
      <c r="D38" t="s">
        <v>108</v>
      </c>
      <c r="E38" t="s">
        <v>235</v>
      </c>
      <c r="F38" t="s">
        <v>190</v>
      </c>
      <c r="G38">
        <v>2006</v>
      </c>
      <c r="H38" t="s">
        <v>98</v>
      </c>
      <c r="I38" t="s">
        <v>115</v>
      </c>
    </row>
    <row r="39" spans="2:9">
      <c r="B39" s="55"/>
      <c r="D39" t="s">
        <v>102</v>
      </c>
      <c r="E39" t="s">
        <v>257</v>
      </c>
      <c r="F39" t="s">
        <v>165</v>
      </c>
      <c r="G39">
        <v>2007</v>
      </c>
      <c r="H39" t="s">
        <v>98</v>
      </c>
      <c r="I39" t="s">
        <v>115</v>
      </c>
    </row>
    <row r="40" spans="2:9">
      <c r="B40" s="55"/>
      <c r="D40" t="s">
        <v>128</v>
      </c>
      <c r="E40" t="s">
        <v>258</v>
      </c>
      <c r="F40" t="s">
        <v>247</v>
      </c>
      <c r="G40">
        <v>2006</v>
      </c>
      <c r="H40" t="s">
        <v>98</v>
      </c>
      <c r="I40" t="s">
        <v>115</v>
      </c>
    </row>
    <row r="41" spans="2:9">
      <c r="B41" s="55"/>
      <c r="D41" t="s">
        <v>243</v>
      </c>
      <c r="E41" t="s">
        <v>259</v>
      </c>
      <c r="F41" t="s">
        <v>165</v>
      </c>
      <c r="G41">
        <v>2007</v>
      </c>
      <c r="H41" t="s">
        <v>98</v>
      </c>
      <c r="I41" t="s">
        <v>115</v>
      </c>
    </row>
    <row r="42" spans="2:9">
      <c r="B42" s="55"/>
      <c r="D42" t="s">
        <v>209</v>
      </c>
      <c r="E42" t="s">
        <v>260</v>
      </c>
      <c r="F42" t="s">
        <v>247</v>
      </c>
      <c r="G42">
        <v>2007</v>
      </c>
      <c r="H42" t="s">
        <v>98</v>
      </c>
      <c r="I42" t="s">
        <v>115</v>
      </c>
    </row>
    <row r="43" spans="2:9">
      <c r="B43" s="55"/>
      <c r="D43" t="s">
        <v>166</v>
      </c>
      <c r="E43" t="s">
        <v>261</v>
      </c>
      <c r="F43" t="s">
        <v>165</v>
      </c>
      <c r="G43">
        <v>2007</v>
      </c>
      <c r="H43" t="s">
        <v>98</v>
      </c>
      <c r="I43" t="s">
        <v>115</v>
      </c>
    </row>
    <row r="44" spans="2:9">
      <c r="B44" s="55"/>
      <c r="D44" t="s">
        <v>102</v>
      </c>
      <c r="E44" t="s">
        <v>262</v>
      </c>
      <c r="F44" t="s">
        <v>247</v>
      </c>
      <c r="G44">
        <v>2007</v>
      </c>
      <c r="H44" t="s">
        <v>98</v>
      </c>
      <c r="I44" t="s">
        <v>115</v>
      </c>
    </row>
    <row r="45" spans="2:9">
      <c r="B45" s="55"/>
      <c r="D45" t="s">
        <v>279</v>
      </c>
      <c r="E45" t="s">
        <v>280</v>
      </c>
      <c r="F45" t="s">
        <v>276</v>
      </c>
      <c r="G45">
        <v>2007</v>
      </c>
      <c r="H45" t="s">
        <v>98</v>
      </c>
      <c r="I45" t="s">
        <v>115</v>
      </c>
    </row>
    <row r="46" spans="2:9">
      <c r="B46" s="55"/>
      <c r="D46" t="s">
        <v>142</v>
      </c>
      <c r="E46" t="s">
        <v>143</v>
      </c>
      <c r="F46" t="s">
        <v>127</v>
      </c>
      <c r="G46">
        <v>2006</v>
      </c>
      <c r="H46" t="s">
        <v>140</v>
      </c>
      <c r="I46" t="s">
        <v>144</v>
      </c>
    </row>
    <row r="47" spans="2:9">
      <c r="B47" s="55"/>
      <c r="D47" t="s">
        <v>214</v>
      </c>
      <c r="E47" t="s">
        <v>215</v>
      </c>
      <c r="F47" t="s">
        <v>205</v>
      </c>
      <c r="G47">
        <v>2007</v>
      </c>
      <c r="H47" t="s">
        <v>140</v>
      </c>
      <c r="I47" t="s">
        <v>144</v>
      </c>
    </row>
    <row r="48" spans="2:9">
      <c r="B48" s="55"/>
      <c r="D48" t="s">
        <v>236</v>
      </c>
      <c r="E48" t="s">
        <v>237</v>
      </c>
      <c r="F48" t="s">
        <v>190</v>
      </c>
      <c r="G48">
        <v>2006</v>
      </c>
      <c r="H48" t="s">
        <v>140</v>
      </c>
      <c r="I48" t="s">
        <v>144</v>
      </c>
    </row>
    <row r="49" spans="2:9">
      <c r="B49" s="55"/>
      <c r="D49" t="s">
        <v>263</v>
      </c>
      <c r="E49" t="s">
        <v>146</v>
      </c>
      <c r="F49" t="s">
        <v>165</v>
      </c>
      <c r="G49">
        <v>2007</v>
      </c>
      <c r="H49" t="s">
        <v>140</v>
      </c>
      <c r="I49" t="s">
        <v>144</v>
      </c>
    </row>
    <row r="50" spans="2:9">
      <c r="B50" s="55"/>
      <c r="D50" t="s">
        <v>265</v>
      </c>
      <c r="E50" t="s">
        <v>266</v>
      </c>
      <c r="F50" t="s">
        <v>165</v>
      </c>
      <c r="G50">
        <v>2006</v>
      </c>
      <c r="H50" t="s">
        <v>140</v>
      </c>
      <c r="I50" t="s">
        <v>144</v>
      </c>
    </row>
    <row r="51" spans="2:9">
      <c r="B51" s="55"/>
      <c r="D51" t="s">
        <v>145</v>
      </c>
      <c r="E51" t="s">
        <v>270</v>
      </c>
      <c r="F51" t="s">
        <v>247</v>
      </c>
      <c r="G51">
        <v>2007</v>
      </c>
      <c r="H51" t="s">
        <v>140</v>
      </c>
      <c r="I51" t="s">
        <v>144</v>
      </c>
    </row>
    <row r="52" spans="2:9">
      <c r="B52" s="55"/>
      <c r="D52" t="s">
        <v>281</v>
      </c>
      <c r="E52" t="s">
        <v>277</v>
      </c>
      <c r="F52" t="s">
        <v>276</v>
      </c>
      <c r="G52">
        <v>2007</v>
      </c>
      <c r="H52" t="s">
        <v>140</v>
      </c>
      <c r="I52" t="s">
        <v>144</v>
      </c>
    </row>
    <row r="53" spans="2:9">
      <c r="B53" s="55"/>
      <c r="D53" t="s">
        <v>282</v>
      </c>
      <c r="E53" t="s">
        <v>283</v>
      </c>
      <c r="F53" t="s">
        <v>276</v>
      </c>
      <c r="G53">
        <v>2006</v>
      </c>
      <c r="H53" t="s">
        <v>140</v>
      </c>
      <c r="I53" t="s">
        <v>144</v>
      </c>
    </row>
    <row r="54" spans="2:9">
      <c r="B54" s="55"/>
      <c r="D54" t="s">
        <v>104</v>
      </c>
      <c r="E54" t="s">
        <v>105</v>
      </c>
      <c r="F54" t="s">
        <v>106</v>
      </c>
      <c r="G54">
        <v>1988</v>
      </c>
      <c r="H54" t="s">
        <v>98</v>
      </c>
      <c r="I54" t="s">
        <v>107</v>
      </c>
    </row>
    <row r="55" spans="2:9">
      <c r="B55" s="55"/>
      <c r="D55" t="s">
        <v>152</v>
      </c>
      <c r="E55" t="s">
        <v>246</v>
      </c>
      <c r="F55" t="s">
        <v>247</v>
      </c>
      <c r="G55">
        <v>2002</v>
      </c>
      <c r="H55" t="s">
        <v>98</v>
      </c>
      <c r="I55" t="s">
        <v>248</v>
      </c>
    </row>
    <row r="56" spans="2:9">
      <c r="B56" s="55"/>
      <c r="D56" t="s">
        <v>133</v>
      </c>
      <c r="E56" t="s">
        <v>134</v>
      </c>
      <c r="F56" t="s">
        <v>127</v>
      </c>
      <c r="G56">
        <v>2011</v>
      </c>
      <c r="H56" t="s">
        <v>98</v>
      </c>
      <c r="I56" t="s">
        <v>135</v>
      </c>
    </row>
    <row r="57" spans="2:9">
      <c r="B57" s="55"/>
      <c r="D57" t="s">
        <v>136</v>
      </c>
      <c r="E57" t="s">
        <v>137</v>
      </c>
      <c r="F57" t="s">
        <v>127</v>
      </c>
      <c r="G57">
        <v>2011</v>
      </c>
      <c r="H57" t="s">
        <v>98</v>
      </c>
      <c r="I57" t="s">
        <v>135</v>
      </c>
    </row>
    <row r="58" spans="2:9">
      <c r="B58" s="55"/>
      <c r="D58" t="s">
        <v>175</v>
      </c>
      <c r="E58" t="s">
        <v>176</v>
      </c>
      <c r="F58" t="s">
        <v>165</v>
      </c>
      <c r="G58">
        <v>2011</v>
      </c>
      <c r="H58" t="s">
        <v>98</v>
      </c>
      <c r="I58" t="s">
        <v>135</v>
      </c>
    </row>
    <row r="59" spans="2:9">
      <c r="B59" s="55"/>
      <c r="D59" t="s">
        <v>177</v>
      </c>
      <c r="E59" t="s">
        <v>178</v>
      </c>
      <c r="F59" t="s">
        <v>165</v>
      </c>
      <c r="G59">
        <v>2010</v>
      </c>
      <c r="H59" t="s">
        <v>98</v>
      </c>
      <c r="I59" t="s">
        <v>135</v>
      </c>
    </row>
    <row r="60" spans="2:9">
      <c r="B60" s="55"/>
      <c r="D60" t="s">
        <v>179</v>
      </c>
      <c r="E60" t="s">
        <v>180</v>
      </c>
      <c r="F60" t="s">
        <v>165</v>
      </c>
      <c r="G60">
        <v>2010</v>
      </c>
      <c r="H60" t="s">
        <v>98</v>
      </c>
      <c r="I60" t="s">
        <v>135</v>
      </c>
    </row>
    <row r="61" spans="2:9">
      <c r="B61" s="55"/>
      <c r="D61" t="s">
        <v>128</v>
      </c>
      <c r="E61" t="s">
        <v>181</v>
      </c>
      <c r="F61" t="s">
        <v>165</v>
      </c>
      <c r="G61">
        <v>2010</v>
      </c>
      <c r="H61" t="s">
        <v>98</v>
      </c>
      <c r="I61" t="s">
        <v>135</v>
      </c>
    </row>
    <row r="62" spans="2:9">
      <c r="B62" s="55"/>
      <c r="D62" t="s">
        <v>170</v>
      </c>
      <c r="E62" t="s">
        <v>182</v>
      </c>
      <c r="F62" t="s">
        <v>165</v>
      </c>
      <c r="G62">
        <v>2010</v>
      </c>
      <c r="H62" t="s">
        <v>98</v>
      </c>
      <c r="I62" t="s">
        <v>135</v>
      </c>
    </row>
    <row r="63" spans="2:9">
      <c r="B63" s="55"/>
      <c r="D63" t="s">
        <v>95</v>
      </c>
      <c r="E63" t="s">
        <v>204</v>
      </c>
      <c r="F63" t="s">
        <v>205</v>
      </c>
      <c r="G63">
        <v>2010</v>
      </c>
      <c r="H63" t="s">
        <v>98</v>
      </c>
      <c r="I63" t="s">
        <v>135</v>
      </c>
    </row>
    <row r="64" spans="2:9">
      <c r="B64" s="55"/>
      <c r="D64" t="s">
        <v>121</v>
      </c>
      <c r="E64" t="s">
        <v>206</v>
      </c>
      <c r="F64" t="s">
        <v>205</v>
      </c>
      <c r="G64">
        <v>2011</v>
      </c>
      <c r="H64" t="s">
        <v>98</v>
      </c>
      <c r="I64" t="s">
        <v>135</v>
      </c>
    </row>
    <row r="65" spans="2:9">
      <c r="B65" s="55"/>
      <c r="D65" t="s">
        <v>173</v>
      </c>
      <c r="E65" t="s">
        <v>231</v>
      </c>
      <c r="F65" t="s">
        <v>232</v>
      </c>
      <c r="G65">
        <v>2010</v>
      </c>
      <c r="H65" t="s">
        <v>98</v>
      </c>
      <c r="I65" t="s">
        <v>135</v>
      </c>
    </row>
    <row r="66" spans="2:9">
      <c r="B66" s="55"/>
      <c r="D66" t="s">
        <v>113</v>
      </c>
      <c r="E66" t="s">
        <v>269</v>
      </c>
      <c r="F66" t="s">
        <v>247</v>
      </c>
      <c r="G66">
        <v>2011</v>
      </c>
      <c r="H66" t="s">
        <v>98</v>
      </c>
      <c r="I66" t="s">
        <v>135</v>
      </c>
    </row>
    <row r="67" spans="2:9">
      <c r="B67" s="55"/>
      <c r="D67" t="s">
        <v>95</v>
      </c>
      <c r="E67" t="s">
        <v>96</v>
      </c>
      <c r="F67" t="s">
        <v>97</v>
      </c>
      <c r="G67">
        <v>2008</v>
      </c>
      <c r="H67" t="s">
        <v>98</v>
      </c>
      <c r="I67" t="s">
        <v>99</v>
      </c>
    </row>
    <row r="68" spans="2:9">
      <c r="B68" s="55"/>
      <c r="D68" t="s">
        <v>100</v>
      </c>
      <c r="E68" t="s">
        <v>101</v>
      </c>
      <c r="F68" t="s">
        <v>97</v>
      </c>
      <c r="G68">
        <v>2009</v>
      </c>
      <c r="H68" t="s">
        <v>98</v>
      </c>
      <c r="I68" t="s">
        <v>99</v>
      </c>
    </row>
    <row r="69" spans="2:9">
      <c r="B69" s="55"/>
      <c r="D69" t="s">
        <v>102</v>
      </c>
      <c r="E69" t="s">
        <v>103</v>
      </c>
      <c r="F69" t="s">
        <v>97</v>
      </c>
      <c r="G69">
        <v>2008</v>
      </c>
      <c r="H69" t="s">
        <v>98</v>
      </c>
      <c r="I69" t="s">
        <v>99</v>
      </c>
    </row>
    <row r="70" spans="2:9">
      <c r="B70" s="55"/>
      <c r="D70" t="s">
        <v>119</v>
      </c>
      <c r="E70" t="s">
        <v>123</v>
      </c>
      <c r="F70" t="s">
        <v>124</v>
      </c>
      <c r="G70">
        <v>2009</v>
      </c>
      <c r="H70" t="s">
        <v>98</v>
      </c>
      <c r="I70" t="s">
        <v>99</v>
      </c>
    </row>
    <row r="71" spans="2:9">
      <c r="B71" s="55"/>
      <c r="D71" t="s">
        <v>125</v>
      </c>
      <c r="E71" t="s">
        <v>126</v>
      </c>
      <c r="F71" t="s">
        <v>127</v>
      </c>
      <c r="G71">
        <v>2008</v>
      </c>
      <c r="H71" t="s">
        <v>98</v>
      </c>
      <c r="I71" t="s">
        <v>99</v>
      </c>
    </row>
    <row r="72" spans="2:9">
      <c r="B72" s="55"/>
      <c r="D72" t="s">
        <v>128</v>
      </c>
      <c r="E72" t="s">
        <v>129</v>
      </c>
      <c r="F72" t="s">
        <v>127</v>
      </c>
      <c r="G72">
        <v>2008</v>
      </c>
      <c r="H72" t="s">
        <v>98</v>
      </c>
      <c r="I72" t="s">
        <v>99</v>
      </c>
    </row>
    <row r="73" spans="2:9">
      <c r="B73" s="55"/>
      <c r="D73" t="s">
        <v>125</v>
      </c>
      <c r="E73" t="s">
        <v>130</v>
      </c>
      <c r="F73" t="s">
        <v>127</v>
      </c>
      <c r="G73">
        <v>2008</v>
      </c>
      <c r="H73" t="s">
        <v>98</v>
      </c>
      <c r="I73" t="s">
        <v>99</v>
      </c>
    </row>
    <row r="74" spans="2:9">
      <c r="B74" s="55"/>
      <c r="D74" t="s">
        <v>125</v>
      </c>
      <c r="E74" t="s">
        <v>151</v>
      </c>
      <c r="F74" t="s">
        <v>150</v>
      </c>
      <c r="G74">
        <v>2009</v>
      </c>
      <c r="H74" t="s">
        <v>98</v>
      </c>
      <c r="I74" t="s">
        <v>99</v>
      </c>
    </row>
    <row r="75" spans="2:9">
      <c r="B75" s="55"/>
      <c r="D75" t="s">
        <v>163</v>
      </c>
      <c r="E75" t="s">
        <v>164</v>
      </c>
      <c r="F75" t="s">
        <v>165</v>
      </c>
      <c r="G75">
        <v>2008</v>
      </c>
      <c r="H75" t="s">
        <v>98</v>
      </c>
      <c r="I75" t="s">
        <v>99</v>
      </c>
    </row>
    <row r="76" spans="2:9">
      <c r="B76" s="55"/>
      <c r="D76" t="s">
        <v>166</v>
      </c>
      <c r="E76" t="s">
        <v>167</v>
      </c>
      <c r="F76" t="s">
        <v>165</v>
      </c>
      <c r="G76">
        <v>2008</v>
      </c>
      <c r="H76" t="s">
        <v>98</v>
      </c>
      <c r="I76" t="s">
        <v>99</v>
      </c>
    </row>
    <row r="77" spans="2:9">
      <c r="B77" s="55"/>
      <c r="D77" t="s">
        <v>168</v>
      </c>
      <c r="E77" t="s">
        <v>169</v>
      </c>
      <c r="F77" t="s">
        <v>165</v>
      </c>
      <c r="G77">
        <v>2008</v>
      </c>
      <c r="H77" t="s">
        <v>98</v>
      </c>
      <c r="I77" t="s">
        <v>99</v>
      </c>
    </row>
    <row r="78" spans="2:9">
      <c r="B78" s="55"/>
      <c r="D78" t="s">
        <v>170</v>
      </c>
      <c r="E78" t="s">
        <v>171</v>
      </c>
      <c r="F78" t="s">
        <v>165</v>
      </c>
      <c r="G78">
        <v>2008</v>
      </c>
      <c r="H78" t="s">
        <v>98</v>
      </c>
      <c r="I78" t="s">
        <v>99</v>
      </c>
    </row>
    <row r="79" spans="2:9">
      <c r="B79" s="55"/>
      <c r="D79" t="s">
        <v>95</v>
      </c>
      <c r="E79" t="s">
        <v>172</v>
      </c>
      <c r="F79" t="s">
        <v>165</v>
      </c>
      <c r="G79">
        <v>2009</v>
      </c>
      <c r="H79" t="s">
        <v>98</v>
      </c>
      <c r="I79" t="s">
        <v>99</v>
      </c>
    </row>
    <row r="80" spans="2:9">
      <c r="B80" s="55"/>
      <c r="D80" t="s">
        <v>173</v>
      </c>
      <c r="E80" t="s">
        <v>174</v>
      </c>
      <c r="F80" t="s">
        <v>165</v>
      </c>
      <c r="G80">
        <v>2009</v>
      </c>
      <c r="H80" t="s">
        <v>98</v>
      </c>
      <c r="I80" t="s">
        <v>99</v>
      </c>
    </row>
    <row r="81" spans="2:9">
      <c r="B81" s="55"/>
      <c r="D81" t="s">
        <v>121</v>
      </c>
      <c r="E81" t="s">
        <v>194</v>
      </c>
      <c r="F81" t="s">
        <v>190</v>
      </c>
      <c r="G81">
        <v>2008</v>
      </c>
      <c r="H81" t="s">
        <v>98</v>
      </c>
      <c r="I81" t="s">
        <v>99</v>
      </c>
    </row>
    <row r="82" spans="2:9">
      <c r="B82" s="55"/>
      <c r="D82" t="s">
        <v>195</v>
      </c>
      <c r="E82" t="s">
        <v>196</v>
      </c>
      <c r="F82" t="s">
        <v>190</v>
      </c>
      <c r="G82">
        <v>2008</v>
      </c>
      <c r="H82" t="s">
        <v>98</v>
      </c>
      <c r="I82" t="s">
        <v>99</v>
      </c>
    </row>
    <row r="83" spans="2:9">
      <c r="B83" s="55"/>
      <c r="D83" t="s">
        <v>119</v>
      </c>
      <c r="E83" t="s">
        <v>197</v>
      </c>
      <c r="F83" t="s">
        <v>190</v>
      </c>
      <c r="G83">
        <v>2008</v>
      </c>
      <c r="H83" t="s">
        <v>98</v>
      </c>
      <c r="I83" t="s">
        <v>99</v>
      </c>
    </row>
    <row r="84" spans="2:9">
      <c r="B84" s="55"/>
      <c r="D84" t="s">
        <v>121</v>
      </c>
      <c r="E84" t="s">
        <v>198</v>
      </c>
      <c r="F84" t="s">
        <v>190</v>
      </c>
      <c r="G84">
        <v>2009</v>
      </c>
      <c r="H84" t="s">
        <v>98</v>
      </c>
      <c r="I84" t="s">
        <v>99</v>
      </c>
    </row>
    <row r="85" spans="2:9">
      <c r="B85" s="55"/>
      <c r="D85" t="s">
        <v>182</v>
      </c>
      <c r="E85" t="s">
        <v>199</v>
      </c>
      <c r="F85" t="s">
        <v>190</v>
      </c>
      <c r="G85">
        <v>2009</v>
      </c>
      <c r="H85" t="s">
        <v>98</v>
      </c>
      <c r="I85" t="s">
        <v>99</v>
      </c>
    </row>
    <row r="86" spans="2:9">
      <c r="B86" s="55"/>
      <c r="D86" t="s">
        <v>207</v>
      </c>
      <c r="E86" t="s">
        <v>208</v>
      </c>
      <c r="F86" t="s">
        <v>205</v>
      </c>
      <c r="G86">
        <v>2008</v>
      </c>
      <c r="H86" t="s">
        <v>98</v>
      </c>
      <c r="I86" t="s">
        <v>99</v>
      </c>
    </row>
    <row r="87" spans="2:9">
      <c r="B87" s="55"/>
      <c r="D87" t="s">
        <v>209</v>
      </c>
      <c r="E87" t="s">
        <v>210</v>
      </c>
      <c r="F87" t="s">
        <v>205</v>
      </c>
      <c r="G87">
        <v>2008</v>
      </c>
      <c r="H87" t="s">
        <v>98</v>
      </c>
      <c r="I87" t="s">
        <v>99</v>
      </c>
    </row>
    <row r="88" spans="2:9">
      <c r="B88" s="55"/>
      <c r="D88" t="s">
        <v>211</v>
      </c>
      <c r="E88" t="s">
        <v>212</v>
      </c>
      <c r="F88" t="s">
        <v>205</v>
      </c>
      <c r="G88">
        <v>2009</v>
      </c>
      <c r="H88" t="s">
        <v>98</v>
      </c>
      <c r="I88" t="s">
        <v>99</v>
      </c>
    </row>
    <row r="89" spans="2:9">
      <c r="B89" s="55"/>
      <c r="D89" t="s">
        <v>95</v>
      </c>
      <c r="E89" t="s">
        <v>213</v>
      </c>
      <c r="F89" t="s">
        <v>205</v>
      </c>
      <c r="G89">
        <v>2009</v>
      </c>
      <c r="H89" t="s">
        <v>98</v>
      </c>
      <c r="I89" t="s">
        <v>99</v>
      </c>
    </row>
    <row r="90" spans="2:9">
      <c r="B90" s="55"/>
      <c r="D90" t="s">
        <v>119</v>
      </c>
      <c r="E90" t="s">
        <v>229</v>
      </c>
      <c r="F90" t="s">
        <v>230</v>
      </c>
      <c r="G90">
        <v>2008</v>
      </c>
      <c r="H90" t="s">
        <v>98</v>
      </c>
      <c r="I90" t="s">
        <v>99</v>
      </c>
    </row>
    <row r="91" spans="2:9">
      <c r="B91" s="55"/>
      <c r="D91" t="s">
        <v>116</v>
      </c>
      <c r="E91" t="s">
        <v>252</v>
      </c>
      <c r="F91" t="s">
        <v>247</v>
      </c>
      <c r="G91">
        <v>2008</v>
      </c>
      <c r="H91" t="s">
        <v>98</v>
      </c>
      <c r="I91" t="s">
        <v>99</v>
      </c>
    </row>
    <row r="92" spans="2:9">
      <c r="B92" s="55"/>
      <c r="D92" t="s">
        <v>152</v>
      </c>
      <c r="E92" t="s">
        <v>264</v>
      </c>
      <c r="F92" t="s">
        <v>247</v>
      </c>
      <c r="G92">
        <v>2009</v>
      </c>
      <c r="H92" t="s">
        <v>98</v>
      </c>
      <c r="I92" t="s">
        <v>99</v>
      </c>
    </row>
    <row r="93" spans="2:9">
      <c r="B93" s="55"/>
      <c r="D93" t="s">
        <v>255</v>
      </c>
      <c r="E93" t="s">
        <v>267</v>
      </c>
      <c r="F93" t="s">
        <v>247</v>
      </c>
      <c r="G93">
        <v>2008</v>
      </c>
      <c r="H93" t="s">
        <v>98</v>
      </c>
      <c r="I93" t="s">
        <v>99</v>
      </c>
    </row>
    <row r="94" spans="2:9">
      <c r="B94" s="55"/>
      <c r="D94" t="s">
        <v>173</v>
      </c>
      <c r="E94" t="s">
        <v>268</v>
      </c>
      <c r="F94" t="s">
        <v>247</v>
      </c>
      <c r="G94">
        <v>2008</v>
      </c>
      <c r="H94" t="s">
        <v>98</v>
      </c>
      <c r="I94" t="s">
        <v>99</v>
      </c>
    </row>
    <row r="95" spans="2:9">
      <c r="B95" s="55"/>
      <c r="D95" t="s">
        <v>95</v>
      </c>
      <c r="E95" t="s">
        <v>284</v>
      </c>
      <c r="F95" t="s">
        <v>276</v>
      </c>
      <c r="G95">
        <v>2009</v>
      </c>
      <c r="H95" t="s">
        <v>98</v>
      </c>
      <c r="I95" t="s">
        <v>99</v>
      </c>
    </row>
    <row r="96" spans="2:9">
      <c r="B96" s="55"/>
      <c r="D96" t="s">
        <v>272</v>
      </c>
      <c r="E96" t="s">
        <v>271</v>
      </c>
      <c r="F96" t="s">
        <v>247</v>
      </c>
      <c r="G96">
        <v>2010</v>
      </c>
      <c r="H96" t="s">
        <v>140</v>
      </c>
      <c r="I96" t="s">
        <v>273</v>
      </c>
    </row>
    <row r="97" spans="2:9">
      <c r="B97" s="55"/>
      <c r="D97" t="s">
        <v>145</v>
      </c>
      <c r="E97" t="s">
        <v>146</v>
      </c>
      <c r="F97" t="s">
        <v>127</v>
      </c>
      <c r="G97">
        <v>2008</v>
      </c>
      <c r="H97" t="s">
        <v>140</v>
      </c>
      <c r="I97" t="s">
        <v>147</v>
      </c>
    </row>
    <row r="98" spans="2:9">
      <c r="B98" s="55"/>
      <c r="D98" t="s">
        <v>161</v>
      </c>
      <c r="E98" t="s">
        <v>162</v>
      </c>
      <c r="F98" t="s">
        <v>154</v>
      </c>
      <c r="G98">
        <v>2008</v>
      </c>
      <c r="H98" t="s">
        <v>140</v>
      </c>
      <c r="I98" t="s">
        <v>147</v>
      </c>
    </row>
    <row r="99" spans="2:9">
      <c r="B99" s="55"/>
      <c r="D99" t="s">
        <v>183</v>
      </c>
      <c r="E99" t="s">
        <v>146</v>
      </c>
      <c r="F99" t="s">
        <v>165</v>
      </c>
      <c r="G99">
        <v>2009</v>
      </c>
      <c r="H99" t="s">
        <v>140</v>
      </c>
      <c r="I99" t="s">
        <v>147</v>
      </c>
    </row>
    <row r="100" spans="2:9">
      <c r="B100" s="55"/>
      <c r="D100" t="s">
        <v>184</v>
      </c>
      <c r="E100" t="s">
        <v>185</v>
      </c>
      <c r="F100" t="s">
        <v>165</v>
      </c>
      <c r="G100">
        <v>2009</v>
      </c>
      <c r="H100" t="s">
        <v>140</v>
      </c>
      <c r="I100" t="s">
        <v>147</v>
      </c>
    </row>
    <row r="101" spans="2:9">
      <c r="B101" s="55"/>
      <c r="D101" t="s">
        <v>183</v>
      </c>
      <c r="E101" t="s">
        <v>186</v>
      </c>
      <c r="F101" t="s">
        <v>165</v>
      </c>
      <c r="G101">
        <v>2008</v>
      </c>
      <c r="H101" t="s">
        <v>140</v>
      </c>
      <c r="I101" t="s">
        <v>147</v>
      </c>
    </row>
    <row r="102" spans="2:9">
      <c r="B102" s="55"/>
      <c r="D102" t="s">
        <v>161</v>
      </c>
      <c r="E102" t="s">
        <v>187</v>
      </c>
      <c r="F102" t="s">
        <v>165</v>
      </c>
      <c r="G102">
        <v>2009</v>
      </c>
      <c r="H102" t="s">
        <v>140</v>
      </c>
      <c r="I102" t="s">
        <v>147</v>
      </c>
    </row>
    <row r="103" spans="2:9">
      <c r="B103" s="55"/>
      <c r="D103" t="s">
        <v>200</v>
      </c>
      <c r="E103" t="s">
        <v>201</v>
      </c>
      <c r="F103" t="s">
        <v>190</v>
      </c>
      <c r="G103">
        <v>2008</v>
      </c>
      <c r="H103" t="s">
        <v>140</v>
      </c>
      <c r="I103" t="s">
        <v>147</v>
      </c>
    </row>
    <row r="104" spans="2:9">
      <c r="B104" s="55"/>
      <c r="D104" t="s">
        <v>183</v>
      </c>
      <c r="E104" t="s">
        <v>189</v>
      </c>
      <c r="F104" t="s">
        <v>190</v>
      </c>
      <c r="G104">
        <v>2008</v>
      </c>
      <c r="H104" t="s">
        <v>140</v>
      </c>
      <c r="I104" t="s">
        <v>147</v>
      </c>
    </row>
    <row r="105" spans="2:9">
      <c r="B105" s="55"/>
      <c r="D105" t="s">
        <v>202</v>
      </c>
      <c r="E105" t="s">
        <v>203</v>
      </c>
      <c r="F105" t="s">
        <v>190</v>
      </c>
      <c r="G105">
        <v>2009</v>
      </c>
      <c r="H105" t="s">
        <v>140</v>
      </c>
      <c r="I105" t="s">
        <v>147</v>
      </c>
    </row>
    <row r="106" spans="2:9">
      <c r="B106" s="55"/>
      <c r="D106" t="s">
        <v>223</v>
      </c>
      <c r="E106" t="s">
        <v>224</v>
      </c>
      <c r="F106" t="s">
        <v>205</v>
      </c>
      <c r="G106">
        <v>2009</v>
      </c>
      <c r="H106" t="s">
        <v>140</v>
      </c>
      <c r="I106" t="s">
        <v>147</v>
      </c>
    </row>
    <row r="107" spans="2:9">
      <c r="B107" s="55"/>
      <c r="D107" t="s">
        <v>225</v>
      </c>
      <c r="E107" t="s">
        <v>226</v>
      </c>
      <c r="F107" t="s">
        <v>205</v>
      </c>
      <c r="G107">
        <v>2009</v>
      </c>
      <c r="H107" t="s">
        <v>140</v>
      </c>
      <c r="I107" t="s">
        <v>147</v>
      </c>
    </row>
    <row r="108" spans="2:9">
      <c r="B108" s="55"/>
      <c r="D108" t="s">
        <v>227</v>
      </c>
      <c r="E108" t="s">
        <v>228</v>
      </c>
      <c r="F108" t="s">
        <v>205</v>
      </c>
      <c r="G108">
        <v>2008</v>
      </c>
      <c r="H108" t="s">
        <v>140</v>
      </c>
      <c r="I108" t="s">
        <v>147</v>
      </c>
    </row>
    <row r="109" spans="2:9">
      <c r="B109" s="55"/>
      <c r="D109" t="s">
        <v>142</v>
      </c>
      <c r="E109" t="s">
        <v>271</v>
      </c>
      <c r="F109" t="s">
        <v>247</v>
      </c>
      <c r="G109">
        <v>2008</v>
      </c>
      <c r="H109" t="s">
        <v>140</v>
      </c>
      <c r="I109" t="s">
        <v>147</v>
      </c>
    </row>
    <row r="110" spans="2:9">
      <c r="B110" s="55"/>
      <c r="D110" t="s">
        <v>285</v>
      </c>
      <c r="E110" t="s">
        <v>286</v>
      </c>
      <c r="F110" t="s">
        <v>276</v>
      </c>
      <c r="G110">
        <v>2008</v>
      </c>
      <c r="H110" t="s">
        <v>140</v>
      </c>
      <c r="I110" t="s">
        <v>147</v>
      </c>
    </row>
    <row r="111" spans="2:9">
      <c r="B111" s="55"/>
      <c r="D111" t="s">
        <v>287</v>
      </c>
      <c r="E111" t="s">
        <v>288</v>
      </c>
      <c r="F111" t="s">
        <v>276</v>
      </c>
      <c r="G111">
        <v>2008</v>
      </c>
      <c r="H111" t="s">
        <v>140</v>
      </c>
      <c r="I111" t="s">
        <v>147</v>
      </c>
    </row>
    <row r="112" spans="2:9">
      <c r="B112" s="55"/>
      <c r="D112" t="s">
        <v>289</v>
      </c>
      <c r="E112" t="s">
        <v>290</v>
      </c>
      <c r="F112" t="s">
        <v>276</v>
      </c>
      <c r="G112">
        <v>2008</v>
      </c>
      <c r="H112" t="s">
        <v>140</v>
      </c>
      <c r="I112" t="s">
        <v>147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64C70-B86B-4CAA-867B-04FA90A57F1C}">
  <dimension ref="I18:J23"/>
  <sheetViews>
    <sheetView workbookViewId="0">
      <selection activeCell="J24" sqref="J24"/>
    </sheetView>
  </sheetViews>
  <sheetFormatPr defaultRowHeight="15"/>
  <sheetData>
    <row r="18" spans="9:10">
      <c r="I18">
        <v>362</v>
      </c>
    </row>
    <row r="20" spans="9:10">
      <c r="I20">
        <f>I18*0.8</f>
        <v>289.60000000000002</v>
      </c>
      <c r="J20">
        <f>I18*0.2</f>
        <v>72.400000000000006</v>
      </c>
    </row>
    <row r="21" spans="9:10">
      <c r="J21">
        <f>210/290</f>
        <v>0.72413793103448276</v>
      </c>
    </row>
    <row r="22" spans="9:10">
      <c r="J22">
        <f>1-J21</f>
        <v>0.27586206896551724</v>
      </c>
    </row>
    <row r="23" spans="9:10">
      <c r="J23">
        <f>72/152</f>
        <v>0.47368421052631576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63FB-7441-444D-B054-F3FC402E0896}">
  <dimension ref="B2:C36"/>
  <sheetViews>
    <sheetView workbookViewId="0">
      <selection activeCell="B2" sqref="B2:B36"/>
    </sheetView>
  </sheetViews>
  <sheetFormatPr defaultRowHeight="15"/>
  <cols>
    <col min="2" max="2" width="16" customWidth="1"/>
  </cols>
  <sheetData>
    <row r="2" spans="2:3">
      <c r="B2" t="s">
        <v>81</v>
      </c>
    </row>
    <row r="3" spans="2:3">
      <c r="B3">
        <v>1</v>
      </c>
      <c r="C3">
        <v>40</v>
      </c>
    </row>
    <row r="4" spans="2:3">
      <c r="B4">
        <v>2</v>
      </c>
      <c r="C4">
        <f>C3-2</f>
        <v>38</v>
      </c>
    </row>
    <row r="5" spans="2:3">
      <c r="B5">
        <v>3</v>
      </c>
      <c r="C5">
        <f t="shared" ref="C5:C22" si="0">C4-2</f>
        <v>36</v>
      </c>
    </row>
    <row r="6" spans="2:3">
      <c r="B6">
        <v>4</v>
      </c>
      <c r="C6">
        <f t="shared" si="0"/>
        <v>34</v>
      </c>
    </row>
    <row r="7" spans="2:3">
      <c r="B7">
        <v>5</v>
      </c>
      <c r="C7">
        <f t="shared" si="0"/>
        <v>32</v>
      </c>
    </row>
    <row r="8" spans="2:3">
      <c r="B8">
        <v>6</v>
      </c>
      <c r="C8">
        <f t="shared" si="0"/>
        <v>30</v>
      </c>
    </row>
    <row r="9" spans="2:3">
      <c r="B9">
        <v>7</v>
      </c>
      <c r="C9">
        <f t="shared" si="0"/>
        <v>28</v>
      </c>
    </row>
    <row r="10" spans="2:3">
      <c r="B10">
        <v>8</v>
      </c>
      <c r="C10">
        <f t="shared" si="0"/>
        <v>26</v>
      </c>
    </row>
    <row r="11" spans="2:3">
      <c r="B11">
        <v>9</v>
      </c>
      <c r="C11">
        <f t="shared" si="0"/>
        <v>24</v>
      </c>
    </row>
    <row r="12" spans="2:3">
      <c r="B12">
        <v>10</v>
      </c>
      <c r="C12">
        <f t="shared" si="0"/>
        <v>22</v>
      </c>
    </row>
    <row r="13" spans="2:3">
      <c r="B13">
        <v>11</v>
      </c>
      <c r="C13">
        <f t="shared" si="0"/>
        <v>20</v>
      </c>
    </row>
    <row r="14" spans="2:3">
      <c r="B14">
        <v>12</v>
      </c>
      <c r="C14">
        <f t="shared" si="0"/>
        <v>18</v>
      </c>
    </row>
    <row r="15" spans="2:3">
      <c r="B15">
        <v>13</v>
      </c>
      <c r="C15">
        <f t="shared" si="0"/>
        <v>16</v>
      </c>
    </row>
    <row r="16" spans="2:3">
      <c r="B16">
        <v>14</v>
      </c>
      <c r="C16">
        <f t="shared" si="0"/>
        <v>14</v>
      </c>
    </row>
    <row r="17" spans="2:3">
      <c r="B17">
        <v>15</v>
      </c>
      <c r="C17">
        <f t="shared" si="0"/>
        <v>12</v>
      </c>
    </row>
    <row r="18" spans="2:3">
      <c r="B18">
        <v>16</v>
      </c>
      <c r="C18">
        <f t="shared" si="0"/>
        <v>10</v>
      </c>
    </row>
    <row r="19" spans="2:3">
      <c r="B19">
        <v>17</v>
      </c>
      <c r="C19">
        <f t="shared" si="0"/>
        <v>8</v>
      </c>
    </row>
    <row r="20" spans="2:3">
      <c r="B20">
        <v>18</v>
      </c>
      <c r="C20">
        <f t="shared" si="0"/>
        <v>6</v>
      </c>
    </row>
    <row r="21" spans="2:3">
      <c r="B21">
        <v>19</v>
      </c>
      <c r="C21">
        <f t="shared" si="0"/>
        <v>4</v>
      </c>
    </row>
    <row r="22" spans="2:3">
      <c r="B22">
        <v>20</v>
      </c>
      <c r="C22">
        <f t="shared" si="0"/>
        <v>2</v>
      </c>
    </row>
    <row r="23" spans="2:3">
      <c r="B23">
        <v>21</v>
      </c>
      <c r="C23">
        <v>1</v>
      </c>
    </row>
    <row r="24" spans="2:3">
      <c r="B24">
        <v>22</v>
      </c>
      <c r="C24">
        <v>1</v>
      </c>
    </row>
    <row r="25" spans="2:3">
      <c r="B25">
        <v>23</v>
      </c>
      <c r="C25">
        <v>1</v>
      </c>
    </row>
    <row r="26" spans="2:3">
      <c r="B26">
        <v>24</v>
      </c>
      <c r="C26">
        <v>1</v>
      </c>
    </row>
    <row r="27" spans="2:3">
      <c r="B27">
        <v>25</v>
      </c>
      <c r="C27">
        <v>1</v>
      </c>
    </row>
    <row r="28" spans="2:3">
      <c r="B28">
        <v>26</v>
      </c>
      <c r="C28">
        <v>1</v>
      </c>
    </row>
    <row r="29" spans="2:3">
      <c r="B29">
        <v>27</v>
      </c>
      <c r="C29">
        <v>1</v>
      </c>
    </row>
    <row r="30" spans="2:3">
      <c r="B30">
        <v>28</v>
      </c>
      <c r="C30">
        <v>1</v>
      </c>
    </row>
    <row r="31" spans="2:3">
      <c r="B31">
        <v>29</v>
      </c>
      <c r="C31">
        <v>1</v>
      </c>
    </row>
    <row r="32" spans="2:3">
      <c r="B32">
        <v>30</v>
      </c>
      <c r="C32">
        <v>1</v>
      </c>
    </row>
    <row r="33" spans="2:3">
      <c r="B33">
        <v>31</v>
      </c>
      <c r="C33">
        <v>1</v>
      </c>
    </row>
    <row r="34" spans="2:3">
      <c r="B34">
        <v>32</v>
      </c>
      <c r="C34">
        <v>1</v>
      </c>
    </row>
    <row r="35" spans="2:3">
      <c r="B35" t="s">
        <v>82</v>
      </c>
      <c r="C35">
        <v>-40</v>
      </c>
    </row>
    <row r="36" spans="2:3">
      <c r="B36" t="s">
        <v>83</v>
      </c>
      <c r="C36">
        <v>-40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1E8E-F2D7-4985-A362-104254D332ED}">
  <dimension ref="D2:E42"/>
  <sheetViews>
    <sheetView workbookViewId="0">
      <selection activeCell="D3" sqref="D3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F 3 T U n Z C + R i k A A A A 9 Q A A A B I A H A B D b 2 5 m a W c v U G F j a 2 F n Z S 5 4 b W w g o h g A K K A U A A A A A A A A A A A A A A A A A A A A A A A A A A A A h Y 8 x D o I w G I W v Q r r T l u K g 5 K c M r J K Y m B j j 1 p Q K j V A M L Z a 7 O X g k r y B G U T f H 9 7 1 v e O 9 + v U E 2 t k 1 w U b 3 V n U l R h C k K l J F d q U 2 V o s E d w y X K O G y E P I l K B Z N s b D L a M k W 1 c + e E E O 8 9 9 j H u + o o w S i O y L 9 Z b W a t W o I + s / 8 u h N t Y J I x X i s H u N 4 Q y v Y r x g D F M g M 4 N C m 2 / P p r n P 9 g d C P j R u 6 B W X N s w P Q O Y I 5 H 2 B P w B Q S w M E F A A C A A g A 2 F 3 T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h d 0 1 I o i k e 4 D g A A A B E A A A A T A B w A R m 9 y b X V s Y X M v U 2 V j d G l v b j E u b S C i G A A o o B Q A A A A A A A A A A A A A A A A A A A A A A A A A A A A r T k 0 u y c z P U w i G 0 I b W A F B L A Q I t A B Q A A g A I A N h d 0 1 J 2 Q v k Y p A A A A P U A A A A S A A A A A A A A A A A A A A A A A A A A A A B D b 2 5 m a W c v U G F j a 2 F n Z S 5 4 b W x Q S w E C L Q A U A A I A C A D Y X d N S D 8 r p q 6 Q A A A D p A A A A E w A A A A A A A A A A A A A A A A D w A A A A W 0 N v b n R l b n R f V H l w Z X N d L n h t b F B L A Q I t A B Q A A g A I A N h d 0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8 m a W g s I q R T a k A A q 6 f J I U 5 A A A A A A I A A A A A A B B m A A A A A Q A A I A A A A P D p B e a + c x f 8 K 0 H Y J G t p U Q B m / 3 7 M / 1 b F c 2 d q s 5 d n s V z i A A A A A A 6 A A A A A A g A A I A A A A I M l l l U W c b Z G o e v / T T y Q a L d X b z S M E g M 5 7 6 q 6 u V r M c h J y U A A A A H b i d H h F N U P 7 g T S M 7 H D O 6 6 e 6 a x + y C + 0 D y 7 r y 6 h O p k e T w l n X M d 4 k u z M N d d d X g x v C F m g g V T z f 5 g u n y F 2 z 8 o g p N a O y k p 3 i K x s 0 g D 0 f Y X Y n E f 1 S B Q A A A A H P n g 1 Z N l z Z H R + J i m 2 T S w H + s J G b j J X m D w n B c 6 N b o E 4 2 q y 4 Q J B I P K / g c 1 Q y P J F J D s m A w s r F q Y 0 h j k H + q h 4 7 R N x b I = < / D a t a M a s h u p > 
</file>

<file path=customXml/itemProps1.xml><?xml version="1.0" encoding="utf-8"?>
<ds:datastoreItem xmlns:ds="http://schemas.openxmlformats.org/officeDocument/2006/customXml" ds:itemID="{433AD7EF-3273-4DDC-8BED-2199A8E081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4</vt:i4>
      </vt:variant>
    </vt:vector>
  </HeadingPairs>
  <TitlesOfParts>
    <vt:vector size="15" baseType="lpstr">
      <vt:lpstr>Vylucovacka</vt:lpstr>
      <vt:lpstr>Bodovacka_x</vt:lpstr>
      <vt:lpstr>Omnium (2)</vt:lpstr>
      <vt:lpstr>Vylučovačka</vt:lpstr>
      <vt:lpstr>Dvojice</vt:lpstr>
      <vt:lpstr>seznam přihlašenych</vt:lpstr>
      <vt:lpstr>List4</vt:lpstr>
      <vt:lpstr>List1</vt:lpstr>
      <vt:lpstr>Scrarch</vt:lpstr>
      <vt:lpstr>Prvenstvi</vt:lpstr>
      <vt:lpstr>Bodovacka</vt:lpstr>
      <vt:lpstr>Bodovacka_x!Oblast_tisku</vt:lpstr>
      <vt:lpstr>Dvojice!Oblast_tisku</vt:lpstr>
      <vt:lpstr>'Omnium (2)'!Oblast_tisku</vt:lpstr>
      <vt:lpstr>Vylucovacka!Oblast_tisku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bozanovi</cp:lastModifiedBy>
  <cp:revision>2</cp:revision>
  <cp:lastPrinted>2023-08-08T09:51:29Z</cp:lastPrinted>
  <dcterms:created xsi:type="dcterms:W3CDTF">2008-04-18T10:59:50Z</dcterms:created>
  <dcterms:modified xsi:type="dcterms:W3CDTF">2023-08-08T13:05:50Z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